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3920" windowHeight="12705"/>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O109" i="1" l="1"/>
  <c r="N109" i="1"/>
  <c r="S90" i="1"/>
  <c r="P195" i="1" l="1"/>
  <c r="P166" i="1"/>
  <c r="P162" i="1"/>
  <c r="P151" i="1"/>
  <c r="P130" i="1"/>
  <c r="S109" i="1" l="1"/>
  <c r="R109" i="1"/>
  <c r="Q109" i="1"/>
  <c r="P109" i="1"/>
  <c r="P124" i="1"/>
  <c r="P122" i="1"/>
  <c r="O90" i="1"/>
  <c r="N90" i="1"/>
  <c r="I45" i="3" l="1"/>
  <c r="H45" i="3"/>
  <c r="G45" i="3"/>
  <c r="I44" i="3"/>
  <c r="H44" i="3"/>
  <c r="G44" i="3"/>
  <c r="I43" i="3"/>
  <c r="H43" i="3"/>
  <c r="G43" i="3"/>
  <c r="I41" i="3"/>
  <c r="H41" i="3"/>
  <c r="G41" i="3"/>
  <c r="I40" i="3"/>
  <c r="H40" i="3"/>
  <c r="G40" i="3"/>
  <c r="P79" i="1"/>
  <c r="P68" i="1"/>
  <c r="P62" i="1"/>
  <c r="P27" i="1"/>
  <c r="P11" i="1"/>
  <c r="R195" i="1" l="1"/>
  <c r="Q195" i="1"/>
  <c r="R151" i="1" l="1"/>
  <c r="Q151" i="1"/>
  <c r="E42" i="3" l="1"/>
  <c r="D42" i="3"/>
  <c r="C42" i="3"/>
  <c r="E40" i="3"/>
  <c r="D40" i="3"/>
  <c r="C40" i="3"/>
  <c r="Q68" i="1"/>
  <c r="R62" i="1"/>
  <c r="P58" i="1"/>
  <c r="Q27" i="1"/>
  <c r="R11" i="1"/>
  <c r="Q11" i="1"/>
  <c r="O166" i="1" l="1"/>
  <c r="O164" i="1" s="1"/>
  <c r="N195" i="1"/>
  <c r="O195" i="1"/>
  <c r="P164" i="1"/>
  <c r="N166" i="1"/>
  <c r="N164" i="1" s="1"/>
  <c r="O130" i="1"/>
  <c r="N130" i="1"/>
  <c r="O162" i="1"/>
  <c r="N162" i="1"/>
  <c r="O151" i="1"/>
  <c r="N151" i="1"/>
  <c r="O88" i="1" l="1"/>
  <c r="N88" i="1"/>
  <c r="O124" i="1"/>
  <c r="N124" i="1"/>
  <c r="O122" i="1"/>
  <c r="N122" i="1"/>
  <c r="O112" i="1"/>
  <c r="N112" i="1"/>
  <c r="H21" i="3"/>
  <c r="H22" i="3" s="1"/>
  <c r="G21" i="3"/>
  <c r="G22" i="3" s="1"/>
  <c r="S88" i="1"/>
  <c r="R88" i="1"/>
  <c r="Q88" i="1"/>
  <c r="P88" i="1"/>
  <c r="O79" i="1"/>
  <c r="N79" i="1"/>
  <c r="O68" i="1"/>
  <c r="N68" i="1"/>
  <c r="O62" i="1"/>
  <c r="N62" i="1"/>
  <c r="O58" i="1"/>
  <c r="N58" i="1"/>
  <c r="O49" i="1"/>
  <c r="N49" i="1"/>
  <c r="O27" i="1"/>
  <c r="N27" i="1"/>
  <c r="O11" i="1"/>
  <c r="N11" i="1"/>
  <c r="S166" i="1" l="1"/>
  <c r="S164" i="1" s="1"/>
  <c r="R166" i="1"/>
  <c r="R164" i="1" s="1"/>
  <c r="Q166" i="1"/>
  <c r="Q164" i="1" s="1"/>
  <c r="S139" i="1" l="1"/>
  <c r="R139" i="1"/>
  <c r="Q139" i="1"/>
  <c r="P139" i="1"/>
  <c r="R162" i="1"/>
  <c r="Q162" i="1"/>
  <c r="S151" i="1"/>
  <c r="R124" i="1"/>
  <c r="Q124" i="1"/>
  <c r="R122" i="1"/>
  <c r="Q122" i="1"/>
  <c r="D22" i="3"/>
  <c r="C22" i="3"/>
  <c r="E21" i="3"/>
  <c r="E22" i="3" s="1"/>
  <c r="D21" i="3"/>
  <c r="C21" i="3"/>
  <c r="R79" i="1"/>
  <c r="Q79" i="1"/>
  <c r="S68" i="1"/>
  <c r="R68" i="1"/>
  <c r="Q62" i="1"/>
  <c r="R58" i="1"/>
  <c r="Q58" i="1"/>
  <c r="R49" i="1"/>
  <c r="Q49" i="1"/>
  <c r="P49" i="1"/>
  <c r="P48" i="1" s="1"/>
  <c r="R27" i="1"/>
  <c r="P26" i="1"/>
  <c r="P128" i="1" l="1"/>
  <c r="O128" i="1" l="1"/>
  <c r="N128" i="1"/>
  <c r="S26" i="1" l="1"/>
  <c r="S160" i="1" l="1"/>
  <c r="S10" i="1"/>
  <c r="R10" i="1"/>
  <c r="Q10" i="1"/>
  <c r="O34" i="1"/>
  <c r="N34" i="1"/>
  <c r="O10" i="1"/>
  <c r="N10" i="1"/>
  <c r="R160" i="1" l="1"/>
  <c r="Q160" i="1"/>
  <c r="P160" i="1"/>
  <c r="P10" i="1" l="1"/>
  <c r="S128" i="1" l="1"/>
  <c r="R186" i="1" l="1"/>
  <c r="O26" i="1" l="1"/>
  <c r="N26" i="1"/>
  <c r="P186" i="1" l="1"/>
  <c r="P61" i="1" l="1"/>
  <c r="S34" i="1"/>
  <c r="R34" i="1"/>
  <c r="Q34" i="1"/>
  <c r="P34" i="1"/>
  <c r="O36" i="1" l="1"/>
  <c r="N36" i="1"/>
  <c r="S36" i="1"/>
  <c r="R36" i="1"/>
  <c r="Q36" i="1"/>
  <c r="P36" i="1"/>
  <c r="R128" i="1" l="1"/>
  <c r="Q128" i="1"/>
  <c r="R26" i="1" l="1"/>
  <c r="Q26" i="1"/>
  <c r="N180" i="1" l="1"/>
  <c r="S224" i="1" l="1"/>
  <c r="R224" i="1"/>
  <c r="Q224" i="1"/>
  <c r="P224" i="1"/>
  <c r="O224" i="1"/>
  <c r="N224" i="1"/>
  <c r="S114" i="1" l="1"/>
  <c r="R114" i="1"/>
  <c r="Q114" i="1"/>
  <c r="P114" i="1"/>
  <c r="O114" i="1"/>
  <c r="N114" i="1"/>
  <c r="S121" i="1"/>
  <c r="S226" i="1" s="1"/>
  <c r="R121" i="1"/>
  <c r="R226" i="1" s="1"/>
  <c r="Q121" i="1"/>
  <c r="Q226" i="1" s="1"/>
  <c r="P121" i="1"/>
  <c r="P226" i="1" s="1"/>
  <c r="P87" i="1" l="1"/>
  <c r="O121" i="1" l="1"/>
  <c r="O226" i="1" s="1"/>
  <c r="N121" i="1"/>
  <c r="N226" i="1" s="1"/>
  <c r="S65" i="1" l="1"/>
  <c r="R65" i="1"/>
  <c r="Q65" i="1"/>
  <c r="P65" i="1"/>
  <c r="O65" i="1"/>
  <c r="N65" i="1"/>
  <c r="O67" i="1" l="1"/>
  <c r="O87" i="1" l="1"/>
  <c r="N87" i="1"/>
  <c r="N67" i="1"/>
  <c r="S203" i="1" l="1"/>
  <c r="R203" i="1"/>
  <c r="Q203" i="1"/>
  <c r="P203" i="1"/>
  <c r="O203" i="1"/>
  <c r="N203" i="1"/>
  <c r="S67" i="1" l="1"/>
  <c r="P67" i="1" l="1"/>
  <c r="R67" i="1"/>
  <c r="Q67" i="1"/>
  <c r="N48" i="1" l="1"/>
  <c r="S57" i="1" l="1"/>
  <c r="R57" i="1"/>
  <c r="Q57" i="1"/>
  <c r="P57" i="1"/>
  <c r="O57" i="1"/>
  <c r="N57" i="1"/>
  <c r="H21" i="2" l="1"/>
  <c r="G21" i="2"/>
  <c r="F21" i="2"/>
  <c r="E21" i="2"/>
  <c r="D21" i="2"/>
  <c r="C21" i="2"/>
  <c r="H34" i="2"/>
  <c r="G34" i="2"/>
  <c r="F34" i="2"/>
  <c r="E34" i="2"/>
  <c r="D34" i="2"/>
  <c r="C34" i="2"/>
  <c r="H9" i="2"/>
  <c r="G9" i="2"/>
  <c r="F9" i="2"/>
  <c r="E9" i="2"/>
  <c r="D9" i="2"/>
  <c r="C9" i="2"/>
  <c r="H13" i="2"/>
  <c r="G13" i="2"/>
  <c r="F13" i="2"/>
  <c r="H12" i="2"/>
  <c r="G12" i="2"/>
  <c r="F12" i="2"/>
  <c r="E12" i="2"/>
  <c r="D12" i="2"/>
  <c r="C12" i="2"/>
  <c r="H11" i="2"/>
  <c r="G11" i="2"/>
  <c r="F11" i="2"/>
  <c r="D11" i="2"/>
  <c r="C11" i="2"/>
  <c r="H10" i="2"/>
  <c r="G10" i="2"/>
  <c r="F10" i="2"/>
  <c r="E10" i="2"/>
  <c r="D10" i="2"/>
  <c r="C10" i="2"/>
  <c r="H26" i="2" l="1"/>
  <c r="G26" i="2"/>
  <c r="F26" i="2"/>
  <c r="E11" i="2" l="1"/>
  <c r="E26" i="2"/>
  <c r="H17" i="2" l="1"/>
  <c r="G32" i="2"/>
  <c r="F32" i="2"/>
  <c r="E32" i="2"/>
  <c r="E13" i="2"/>
  <c r="D26" i="2" l="1"/>
  <c r="D17" i="2"/>
  <c r="C17" i="2"/>
  <c r="C26" i="2" l="1"/>
  <c r="D32" i="2"/>
  <c r="C32" i="2"/>
  <c r="D13" i="2"/>
  <c r="C13" i="2"/>
  <c r="H32" i="2" l="1"/>
  <c r="S180" i="1" l="1"/>
  <c r="R180" i="1"/>
  <c r="Q180" i="1"/>
  <c r="P180" i="1"/>
  <c r="P163" i="1" s="1"/>
  <c r="O180" i="1"/>
  <c r="H36" i="2" l="1"/>
  <c r="G36" i="2"/>
  <c r="F36" i="2"/>
  <c r="E36" i="2"/>
  <c r="D36" i="2"/>
  <c r="C36" i="2"/>
  <c r="H35" i="2"/>
  <c r="G35" i="2"/>
  <c r="F35" i="2"/>
  <c r="E35" i="2"/>
  <c r="D35" i="2"/>
  <c r="C35" i="2"/>
  <c r="H33" i="2"/>
  <c r="G33" i="2"/>
  <c r="F33" i="2"/>
  <c r="E33" i="2"/>
  <c r="D33" i="2"/>
  <c r="C33" i="2"/>
  <c r="B32" i="2"/>
  <c r="S211" i="1"/>
  <c r="S202" i="1" s="1"/>
  <c r="R211" i="1"/>
  <c r="R202" i="1" s="1"/>
  <c r="Q211" i="1"/>
  <c r="Q202" i="1" s="1"/>
  <c r="P211" i="1"/>
  <c r="O211" i="1"/>
  <c r="N211" i="1"/>
  <c r="P215" i="1"/>
  <c r="Q215" i="1"/>
  <c r="S186" i="1"/>
  <c r="S199" i="1"/>
  <c r="R199" i="1"/>
  <c r="Q199" i="1"/>
  <c r="P199" i="1"/>
  <c r="P185" i="1" s="1"/>
  <c r="O199" i="1"/>
  <c r="N199" i="1"/>
  <c r="O163" i="1"/>
  <c r="S155" i="1"/>
  <c r="R155" i="1"/>
  <c r="Q155" i="1"/>
  <c r="P155" i="1"/>
  <c r="P127" i="1" s="1"/>
  <c r="O155" i="1"/>
  <c r="N155" i="1"/>
  <c r="S87" i="1"/>
  <c r="F17" i="2"/>
  <c r="E17" i="2"/>
  <c r="P9" i="1" l="1"/>
  <c r="Q9" i="1"/>
  <c r="R9" i="1"/>
  <c r="S9" i="1"/>
  <c r="N9" i="1"/>
  <c r="P214" i="1"/>
  <c r="Q214" i="1"/>
  <c r="G17" i="2"/>
  <c r="S185" i="1"/>
  <c r="N163" i="1"/>
  <c r="R64" i="1"/>
  <c r="P64" i="1"/>
  <c r="S64" i="1"/>
  <c r="H45" i="2"/>
  <c r="G45" i="2"/>
  <c r="F45" i="2"/>
  <c r="E45" i="2"/>
  <c r="D45" i="2"/>
  <c r="C45" i="2"/>
  <c r="Q87" i="1" l="1"/>
  <c r="R87" i="1"/>
  <c r="O64" i="1" l="1"/>
  <c r="N64" i="1"/>
  <c r="H31" i="2" l="1"/>
  <c r="G31" i="2"/>
  <c r="F31" i="2"/>
  <c r="E31" i="2"/>
  <c r="D31" i="2"/>
  <c r="C31" i="2"/>
  <c r="B31" i="2"/>
  <c r="H47" i="2"/>
  <c r="G47" i="2"/>
  <c r="F47" i="2"/>
  <c r="E47" i="2"/>
  <c r="D47" i="2"/>
  <c r="C47" i="2"/>
  <c r="H46" i="2"/>
  <c r="G46" i="2"/>
  <c r="F46" i="2"/>
  <c r="E46" i="2"/>
  <c r="D46" i="2"/>
  <c r="C46" i="2"/>
  <c r="H44" i="2"/>
  <c r="G44" i="2"/>
  <c r="F44" i="2"/>
  <c r="E44" i="2"/>
  <c r="D44" i="2"/>
  <c r="C44" i="2"/>
  <c r="H43" i="2"/>
  <c r="G43" i="2"/>
  <c r="F43" i="2"/>
  <c r="E43" i="2"/>
  <c r="D43" i="2"/>
  <c r="C43" i="2"/>
  <c r="H42" i="2"/>
  <c r="G42" i="2"/>
  <c r="F42" i="2"/>
  <c r="E42" i="2"/>
  <c r="D42" i="2"/>
  <c r="C42" i="2"/>
  <c r="H41" i="2"/>
  <c r="F41" i="2"/>
  <c r="E41" i="2"/>
  <c r="D41" i="2"/>
  <c r="C41" i="2"/>
  <c r="H40" i="2"/>
  <c r="E40" i="2"/>
  <c r="D40" i="2"/>
  <c r="C40" i="2"/>
  <c r="H39" i="2"/>
  <c r="G39" i="2"/>
  <c r="F39" i="2"/>
  <c r="E39" i="2"/>
  <c r="D39" i="2"/>
  <c r="C39" i="2"/>
  <c r="H38" i="2"/>
  <c r="G38" i="2"/>
  <c r="F38" i="2"/>
  <c r="E38" i="2"/>
  <c r="D38" i="2"/>
  <c r="C38" i="2"/>
  <c r="H20" i="2"/>
  <c r="E20" i="2"/>
  <c r="H19" i="2"/>
  <c r="G19" i="2"/>
  <c r="F19" i="2"/>
  <c r="E19" i="2"/>
  <c r="D19" i="2"/>
  <c r="C19" i="2"/>
  <c r="H18" i="2"/>
  <c r="G18" i="2"/>
  <c r="F18" i="2"/>
  <c r="E18" i="2"/>
  <c r="D18" i="2"/>
  <c r="C18" i="2"/>
  <c r="H16" i="2"/>
  <c r="G16" i="2"/>
  <c r="F16" i="2"/>
  <c r="E16" i="2"/>
  <c r="D16" i="2"/>
  <c r="C16" i="2"/>
  <c r="H15" i="2"/>
  <c r="E15" i="2"/>
  <c r="H14" i="2"/>
  <c r="G14" i="2"/>
  <c r="F14" i="2"/>
  <c r="E14" i="2"/>
  <c r="D14" i="2"/>
  <c r="C14" i="2"/>
  <c r="H30" i="2"/>
  <c r="G30" i="2"/>
  <c r="F30" i="2"/>
  <c r="E30" i="2"/>
  <c r="D30" i="2"/>
  <c r="C30" i="2"/>
  <c r="H29" i="2"/>
  <c r="G29" i="2"/>
  <c r="F29" i="2"/>
  <c r="E29" i="2"/>
  <c r="H28" i="2"/>
  <c r="G28" i="2"/>
  <c r="F28" i="2"/>
  <c r="E28" i="2"/>
  <c r="D28" i="2"/>
  <c r="C28" i="2"/>
  <c r="H27" i="2"/>
  <c r="G27" i="2"/>
  <c r="F27" i="2"/>
  <c r="H25" i="2"/>
  <c r="G25" i="2"/>
  <c r="F25" i="2"/>
  <c r="E25" i="2"/>
  <c r="D25" i="2"/>
  <c r="C25" i="2"/>
  <c r="H24" i="2"/>
  <c r="G24" i="2"/>
  <c r="F24" i="2"/>
  <c r="E24" i="2"/>
  <c r="D24" i="2"/>
  <c r="C24" i="2"/>
  <c r="H23" i="2"/>
  <c r="G23" i="2"/>
  <c r="F23" i="2"/>
  <c r="E23" i="2"/>
  <c r="D23" i="2"/>
  <c r="C23" i="2"/>
  <c r="H22" i="2"/>
  <c r="G22" i="2"/>
  <c r="F22" i="2"/>
  <c r="E22" i="2"/>
  <c r="R185" i="1" l="1"/>
  <c r="Q186" i="1"/>
  <c r="Q185" i="1" s="1"/>
  <c r="G41" i="2"/>
  <c r="G15" i="2"/>
  <c r="F15" i="2"/>
  <c r="P202" i="1"/>
  <c r="E27" i="2" l="1"/>
  <c r="E8" i="2" s="1"/>
  <c r="F20" i="2"/>
  <c r="G20" i="2"/>
  <c r="F40" i="2"/>
  <c r="G40" i="2"/>
  <c r="O202" i="1"/>
  <c r="D29" i="2"/>
  <c r="C29" i="2"/>
  <c r="O186" i="1"/>
  <c r="N186" i="1"/>
  <c r="D22" i="2"/>
  <c r="C22" i="2"/>
  <c r="O185" i="1" l="1"/>
  <c r="N185" i="1"/>
  <c r="N202" i="1"/>
  <c r="C20" i="2"/>
  <c r="D20" i="2"/>
  <c r="C27" i="2"/>
  <c r="D27" i="2"/>
  <c r="D15" i="2"/>
  <c r="C15" i="2"/>
  <c r="C8" i="2" l="1"/>
  <c r="D8" i="2"/>
  <c r="O9" i="1" l="1"/>
  <c r="F37" i="2"/>
  <c r="G37" i="2"/>
  <c r="E37" i="2"/>
  <c r="E48" i="2" s="1"/>
  <c r="H37" i="2"/>
  <c r="D37" i="2"/>
  <c r="D48" i="2" s="1"/>
  <c r="C37" i="2"/>
  <c r="C48" i="2" s="1"/>
  <c r="Q163" i="1" l="1"/>
  <c r="G8" i="2"/>
  <c r="G48" i="2" s="1"/>
  <c r="G50" i="2" s="1"/>
  <c r="G53" i="2" s="1"/>
  <c r="R163" i="1"/>
  <c r="Q64" i="1"/>
  <c r="E50" i="2"/>
  <c r="E53" i="2" s="1"/>
  <c r="S163" i="1" l="1"/>
  <c r="F8" i="2"/>
  <c r="F48" i="2" s="1"/>
  <c r="F50" i="2" s="1"/>
  <c r="F53" i="2" s="1"/>
  <c r="H8" i="2" l="1"/>
  <c r="H48" i="2" s="1"/>
  <c r="H50" i="2" s="1"/>
  <c r="H53" i="2" s="1"/>
  <c r="C50" i="2"/>
  <c r="C53" i="2" s="1"/>
  <c r="D50" i="2"/>
  <c r="D53" i="2" s="1"/>
  <c r="S219" i="1" l="1"/>
  <c r="S218" i="1" s="1"/>
  <c r="R219" i="1"/>
  <c r="R218" i="1" s="1"/>
  <c r="Q219" i="1"/>
  <c r="Q223" i="1" s="1"/>
  <c r="P219" i="1"/>
  <c r="P223" i="1" s="1"/>
  <c r="O219" i="1"/>
  <c r="N219" i="1"/>
  <c r="S215" i="1"/>
  <c r="R215" i="1"/>
  <c r="O215" i="1"/>
  <c r="O223" i="1" s="1"/>
  <c r="N215" i="1"/>
  <c r="N223" i="1" s="1"/>
  <c r="R127" i="1"/>
  <c r="Q127" i="1"/>
  <c r="O160" i="1"/>
  <c r="N160" i="1"/>
  <c r="S78" i="1"/>
  <c r="S77" i="1" s="1"/>
  <c r="R78" i="1"/>
  <c r="R77" i="1" s="1"/>
  <c r="Q78" i="1"/>
  <c r="Q77" i="1" s="1"/>
  <c r="P78" i="1"/>
  <c r="P77" i="1" s="1"/>
  <c r="O78" i="1"/>
  <c r="N78" i="1"/>
  <c r="N222" i="1" s="1"/>
  <c r="S61" i="1"/>
  <c r="S225" i="1" s="1"/>
  <c r="R61" i="1"/>
  <c r="R225" i="1" s="1"/>
  <c r="Q61" i="1"/>
  <c r="Q225" i="1" s="1"/>
  <c r="P225" i="1"/>
  <c r="O61" i="1"/>
  <c r="O225" i="1" s="1"/>
  <c r="N61" i="1"/>
  <c r="S48" i="1"/>
  <c r="R48" i="1"/>
  <c r="R222" i="1" s="1"/>
  <c r="Q48" i="1"/>
  <c r="O48" i="1"/>
  <c r="S222" i="1" l="1"/>
  <c r="S223" i="1"/>
  <c r="P222" i="1"/>
  <c r="O222" i="1"/>
  <c r="O227" i="1" s="1"/>
  <c r="O229" i="1" s="1"/>
  <c r="R223" i="1"/>
  <c r="R227" i="1" s="1"/>
  <c r="R229" i="1" s="1"/>
  <c r="R231" i="1" s="1"/>
  <c r="Q222" i="1"/>
  <c r="N47" i="1"/>
  <c r="N225" i="1"/>
  <c r="N227" i="1" s="1"/>
  <c r="N229" i="1" s="1"/>
  <c r="P218" i="1"/>
  <c r="Q218" i="1"/>
  <c r="O127" i="1"/>
  <c r="N127" i="1"/>
  <c r="S127" i="1"/>
  <c r="O77" i="1"/>
  <c r="N218" i="1"/>
  <c r="O218" i="1"/>
  <c r="Q47" i="1"/>
  <c r="R47" i="1"/>
  <c r="N77" i="1"/>
  <c r="P47" i="1"/>
  <c r="S47" i="1"/>
  <c r="O47" i="1"/>
  <c r="S214" i="1"/>
  <c r="R214" i="1"/>
  <c r="N214" i="1"/>
  <c r="O214" i="1"/>
  <c r="S227" i="1" l="1"/>
  <c r="S229" i="1" s="1"/>
  <c r="P227" i="1"/>
  <c r="P229" i="1" s="1"/>
  <c r="Q227" i="1"/>
  <c r="Q229" i="1" s="1"/>
  <c r="Q231" i="1" s="1"/>
</calcChain>
</file>

<file path=xl/comments1.xml><?xml version="1.0" encoding="utf-8"?>
<comments xmlns="http://schemas.openxmlformats.org/spreadsheetml/2006/main">
  <authors>
    <author>121</author>
  </authors>
  <commentList>
    <comment ref="K18" authorId="0">
      <text>
        <r>
          <rPr>
            <b/>
            <sz val="9"/>
            <color indexed="81"/>
            <rFont val="Tahoma"/>
            <charset val="1"/>
          </rPr>
          <t>121:</t>
        </r>
        <r>
          <rPr>
            <sz val="9"/>
            <color indexed="81"/>
            <rFont val="Tahoma"/>
            <charset val="1"/>
          </rPr>
          <t xml:space="preserve">
</t>
        </r>
      </text>
    </comment>
    <comment ref="K117" authorId="0">
      <text>
        <r>
          <rPr>
            <b/>
            <sz val="9"/>
            <color indexed="81"/>
            <rFont val="Tahoma"/>
            <family val="2"/>
            <charset val="204"/>
          </rPr>
          <t>121:</t>
        </r>
        <r>
          <rPr>
            <sz val="9"/>
            <color indexed="81"/>
            <rFont val="Tahoma"/>
            <family val="2"/>
            <charset val="204"/>
          </rPr>
          <t xml:space="preserve">
переработать
МКУ УО</t>
        </r>
      </text>
    </comment>
    <comment ref="K144" authorId="0">
      <text>
        <r>
          <rPr>
            <b/>
            <sz val="9"/>
            <color indexed="81"/>
            <rFont val="Tahoma"/>
            <family val="2"/>
            <charset val="204"/>
          </rPr>
          <t>121:</t>
        </r>
        <r>
          <rPr>
            <sz val="9"/>
            <color indexed="81"/>
            <rFont val="Tahoma"/>
            <family val="2"/>
            <charset val="204"/>
          </rPr>
          <t xml:space="preserve">
есть документы, которые утратили силу или отменены</t>
        </r>
      </text>
    </comment>
    <comment ref="K149" authorId="0">
      <text>
        <r>
          <rPr>
            <b/>
            <sz val="9"/>
            <color indexed="81"/>
            <rFont val="Tahoma"/>
            <family val="2"/>
            <charset val="204"/>
          </rPr>
          <t>121:</t>
        </r>
        <r>
          <rPr>
            <sz val="9"/>
            <color indexed="81"/>
            <rFont val="Tahoma"/>
            <family val="2"/>
            <charset val="204"/>
          </rPr>
          <t xml:space="preserve">
есть документы, которые утратили силу или отменены
</t>
        </r>
      </text>
    </comment>
    <comment ref="K162" authorId="0">
      <text>
        <r>
          <rPr>
            <b/>
            <sz val="9"/>
            <color indexed="81"/>
            <rFont val="Tahoma"/>
            <family val="2"/>
            <charset val="204"/>
          </rPr>
          <t>121:</t>
        </r>
        <r>
          <rPr>
            <sz val="9"/>
            <color indexed="81"/>
            <rFont val="Tahoma"/>
            <family val="2"/>
            <charset val="204"/>
          </rPr>
          <t xml:space="preserve">
есть документы, которые утратили силу или отменены</t>
        </r>
      </text>
    </comment>
  </commentList>
</comments>
</file>

<file path=xl/sharedStrings.xml><?xml version="1.0" encoding="utf-8"?>
<sst xmlns="http://schemas.openxmlformats.org/spreadsheetml/2006/main" count="1140" uniqueCount="607">
  <si>
    <t>Код расходного обязательства</t>
  </si>
  <si>
    <t>Содержание расходного обязательства</t>
  </si>
  <si>
    <t>Коды классификации расходов бюджетов</t>
  </si>
  <si>
    <t>Код ГРБС</t>
  </si>
  <si>
    <t>Р/ПР</t>
  </si>
  <si>
    <t>Нормативные правовые акты, договоры, соглашения РФ</t>
  </si>
  <si>
    <t>Наименование и реквизиты нормативного правового акта</t>
  </si>
  <si>
    <t>Номер статьи (подстатьи), пункта (подпункта)</t>
  </si>
  <si>
    <t>Дата вступления в силу и срок действия</t>
  </si>
  <si>
    <t>Нормативные правовые акты, договоры, соглашения субъекта РФ</t>
  </si>
  <si>
    <t>Нормативные правовые акты, договоры, соглашения муниципального образования</t>
  </si>
  <si>
    <t>план</t>
  </si>
  <si>
    <t>факт</t>
  </si>
  <si>
    <t>Отчетный финансовый год</t>
  </si>
  <si>
    <t>Текущий (очередной) финансовый год</t>
  </si>
  <si>
    <t>Плановый период</t>
  </si>
  <si>
    <t>Объем средств на исполнение расходного обязательства</t>
  </si>
  <si>
    <t>рублей</t>
  </si>
  <si>
    <t>Администрация города Канска</t>
  </si>
  <si>
    <t>0102,0103,0104,0113</t>
  </si>
  <si>
    <t>Федеральный закон от 06.10.2003 № 131-ФЗ "Об общих принципах организации местного самоуправления в Российской Федерации"</t>
  </si>
  <si>
    <t>01.01.2009 - не установ</t>
  </si>
  <si>
    <t>Федеральный закон от 02.03.2007 № 25-ФЗ "О муниципальной службе в Российской Федерации"</t>
  </si>
  <si>
    <t>01.06.2007 - не установ</t>
  </si>
  <si>
    <t>Закон Красноярского края от 24.04.2008 № 5-1565 "Об особенностях правового регулирования муниципальной службы в Красноярском крае"</t>
  </si>
  <si>
    <t>Ст.в целом</t>
  </si>
  <si>
    <t>01.07.2008 - не установ</t>
  </si>
  <si>
    <t xml:space="preserve">Постановление Совета администрации Красноярского края от 29.12.2007 № 512-п "О нормативах формирования расходов на оплату труда депутатов,выборных долдностных лиц местного самоуправления, осуществляющие свои полномочия на постоянной основе, лиц, замещающих иные муниципальные должности, и муниципальных служащих" </t>
  </si>
  <si>
    <t>01.01.2008 - не установ</t>
  </si>
  <si>
    <t>Устав от 27.01.1998 № 47-9Р "Устав города Канска"</t>
  </si>
  <si>
    <t>06.02.1998  - не установ</t>
  </si>
  <si>
    <t>Постановление администрации города Канска от 02.03.2017 г. №180 "Об утверждении Положения о порядке поощрения лиц, привлекаемых для выполнения отдельных полномочий по охране общественного порядка и профилактике правонарушений на  территории муниципального  образования город Канск"</t>
  </si>
  <si>
    <t>08.03.2017 - не установ</t>
  </si>
  <si>
    <t>Ст.34;Пункт 9 Ст.35;Пункт 15 Ст.53;Пункт 2</t>
  </si>
  <si>
    <t>0113</t>
  </si>
  <si>
    <t>Ст.17; пункт 1, п/пункт 3</t>
  </si>
  <si>
    <t>ст.30</t>
  </si>
  <si>
    <t>06.02.1998 - не установ</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</si>
  <si>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</si>
  <si>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ст.6 п.6</t>
  </si>
  <si>
    <t>0501, 1003</t>
  </si>
  <si>
    <t xml:space="preserve">формирование и содержание муниципального архива </t>
  </si>
  <si>
    <t>ст. 16 п. 22</t>
  </si>
  <si>
    <t>Постановление администрации г. Канска Красноярского края от 24.02.2012 №227 "Об утверждении Административного регламента по предоставлению муниципальной услуги "Организация информационного обеспечения граждан, организаций и общественных объеденений на основе документов Архивного фонда РФ и других  архивных объектов".</t>
  </si>
  <si>
    <t>29.02.2012- не установ</t>
  </si>
  <si>
    <t>Федеральный закон от 24.07.2007 № 209-ФЗ "О развитии малого и среднего предпринимательства в Российской Федерации"</t>
  </si>
  <si>
    <t>ст.11</t>
  </si>
  <si>
    <t>ст.16, пункт 1, п/пункт 33</t>
  </si>
  <si>
    <t>ст.в целом</t>
  </si>
  <si>
    <t>10.04.2017 - не установ</t>
  </si>
  <si>
    <t xml:space="preserve">Расходные обязательства, возникшие в результате реализации органами местного самоуправления городского округа делегированных полномочий за счет субвенций, переданных из других бюджетов бюджетной системы Российской Федерации </t>
  </si>
  <si>
    <t>РГ-В</t>
  </si>
  <si>
    <t xml:space="preserve">Расходные обязательства, связанные с реализацией вопросов местного значения городских округов и полномочий органов местного самоуправления по решению вопросов местного значения </t>
  </si>
  <si>
    <t>РГ-А</t>
  </si>
  <si>
    <t>Федеральный закон от 22.10.2004 № 125-ФЗ "Об архивном деле в Российской Федерации"</t>
  </si>
  <si>
    <t>ст.4</t>
  </si>
  <si>
    <t>19.12.2006 - не установ</t>
  </si>
  <si>
    <t>Закон Красноярского края от 21.12.2010 № 11-5564 "О наделении органов местного самоуправления государственными полномочиями в области архивного дела"</t>
  </si>
  <si>
    <t>30.12.2010 - не установ</t>
  </si>
  <si>
    <t>Субвенции бюджетам муниципальных образований края на реализацию Закона края от 30 января 2014 года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</si>
  <si>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0104</t>
  </si>
  <si>
    <t>Закон Красноярского края от 30.01.2014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</si>
  <si>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19.02.2014 - не установ</t>
  </si>
  <si>
    <t>19.11.2014 - не установ</t>
  </si>
  <si>
    <t>Субвенции бюджетам муниципальных образований края на реализацию Закона края от 26 декабря 2006 года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</si>
  <si>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Закон Красноярского края от 26.12.2006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</si>
  <si>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01.01.2007 - не установ</t>
  </si>
  <si>
    <t>Закон Красноярского края от 31.10.2002 № 4-608 "О системе профилактики безнадзорности и правонарушений несовершеннолетних"</t>
  </si>
  <si>
    <t>08.12.2002 - не установ</t>
  </si>
  <si>
    <t>Постановление администрации г. Канска Красноярского края  от 21.10.2010 № 1814 "Об утверждении Порядка расходования субвенции, направленной на осуществление государственных полномочий по созданию и обеспечению деятельности комиссии по делам несовершеннолетних и защите их прав"</t>
  </si>
  <si>
    <t>03.11.2010 - не установ</t>
  </si>
  <si>
    <t>Субвенции бюджетам муниципальных образований края на реализацию Закона края от 23 апреля 2009 года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</si>
  <si>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Красноярского края от 23.04.2009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</si>
  <si>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29.05.2009 - не установ</t>
  </si>
  <si>
    <t>Закон Красноярского края от 23.04.2009 № 8-3168 "Об административных комиссиях в Красноярском крае"</t>
  </si>
  <si>
    <t>28.05.2009 - не установ</t>
  </si>
  <si>
    <t>Федеральный закон от 20.08.2004 № 113-ФЗ "О присяжных заседателях федеральных судов общей юрисдикции в Российской Федерации"</t>
  </si>
  <si>
    <t>0105</t>
  </si>
  <si>
    <t>03.09.2004 - не установ</t>
  </si>
  <si>
    <t>Постановление Правительства Красноярского края от 31.07.2009 № 391-п "О Порядке и сроках составления общего и запасного списков кандидатов в присяжные заседатели Красноярского края"</t>
  </si>
  <si>
    <t>18.08.2009 - не установ</t>
  </si>
  <si>
    <t>29.06.2016- не установ</t>
  </si>
  <si>
    <t>Постановление администрации г.Канска Красноярского края от 13.11.2014 № 1889 Об утверждении порядка расходования субвенции, направленной  на осуществление органами местного самоуправления переданных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t>
  </si>
  <si>
    <t>Комитет по управлению муниципальным имуществом</t>
  </si>
  <si>
    <t xml:space="preserve">владение, пользование и распоряжение имуществом, находящимся в муниципальной собственности городского округа </t>
  </si>
  <si>
    <t>06.10.2003 - не установ</t>
  </si>
  <si>
    <t>Федеральный закон от 21.12.2001 № 178-ФЗ "О приватизации государственного и муниципального имущества"</t>
  </si>
  <si>
    <t xml:space="preserve">ст.3 </t>
  </si>
  <si>
    <t>ст.16, пункт 1, п/пункт 3</t>
  </si>
  <si>
    <t>28.04.2002 - не установ</t>
  </si>
  <si>
    <t>Федеральный закон от 21.07.2007 № 185-ФЗ "О Фонде содействия реформированию жилищно-коммунального хозяйства"</t>
  </si>
  <si>
    <t>ст.14</t>
  </si>
  <si>
    <t>07.08.2007 - не установ</t>
  </si>
  <si>
    <t>Постановление Правительства РФ от 13.10.1997 № 1301 "О государственном учете жилищного фонда в Российской Федерации"</t>
  </si>
  <si>
    <t>30.10.1997 - не установ</t>
  </si>
  <si>
    <t>Закон Красноярского края от 05.06.2008 № 5-1732 "О порядке безвозмездной передачи в муниципальную собственность имущества, находящегося в государственной собственности края, и безвозмездного приема имущества, находящегося в муниципальной собственности, в государственную собственность края"</t>
  </si>
  <si>
    <t>Закон Красноярского края от 26.05.2009 № 8-3290 "О порядке разграничения имущества между муниципальными образованиями края"</t>
  </si>
  <si>
    <t>20.06.2009 - не установ</t>
  </si>
  <si>
    <t>Постановление  администрации Красноярского  края от 06.04.2000 № 255-п "Об утверждении Положения по установлению ставок для проведения паспортизации и плановой технической инвентаризации жилых строений и жилых помещений"</t>
  </si>
  <si>
    <t>30.04.2000 - не установ</t>
  </si>
  <si>
    <t>22.02.2011 - не установ</t>
  </si>
  <si>
    <t>Решение Канского городского Совета депутатов от 15.12.2010 № 11-73 "О Положении о Муниципальном казенном учреждении "Комитет по управлению муниципальным имуществом города Канска"</t>
  </si>
  <si>
    <t>28.12.2010 - не установ</t>
  </si>
  <si>
    <t>Решение Канского городского Совета депутатов от 26.01.2001 г.№ 52-383 "О положении о городской казне"</t>
  </si>
  <si>
    <t>26.01.2001 - не установ</t>
  </si>
  <si>
    <t>ст.6 п.3</t>
  </si>
  <si>
    <t>0501</t>
  </si>
  <si>
    <t>ст.16, пункт 1, п/пункт 6</t>
  </si>
  <si>
    <t>ст.6 п 6</t>
  </si>
  <si>
    <t xml:space="preserve">утверждение генеральных планов ГО, правил землепользования и застройки, утверждение подготовленной на основе генеральных планов ГО документации по планировке территории, выдача разрешений на строительство (за исключением случаев, предусмотренных Градостр. кодексом РФ, иными ФЗ),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 ведение информационной системы обеспечения градостроительной деятельности, осуществляемой на территории ГО, резервирование земель и изъятие, в том числе путем выкупа, земельных участков в границах ГО для муниципальных нужд, осуществление муниципального земельного контроля в границах ГО, осуществление в случаях, предусмотренных Градостр. кодексом РФ, осмотров зданий, сооружений и выдача рекомендаций об устранении выявленных в ходе таких осмотров нарушений </t>
  </si>
  <si>
    <t>0113, 0412</t>
  </si>
  <si>
    <t>ст.16, пункт 1, п/пункт 26</t>
  </si>
  <si>
    <t>Закон Красноярского края от 04.12.2008 № 7-2542 "О регулировании земельных отношений в Красноярском крае"</t>
  </si>
  <si>
    <t>ст.7</t>
  </si>
  <si>
    <t>04.01.2009 - не установ</t>
  </si>
  <si>
    <t>Постановление администрации г.Канска Красноярского края от 21.10.2010 № 9-45 "О Правилах землепользования и застройки города Канска"</t>
  </si>
  <si>
    <t>10.11.2010 - не установ</t>
  </si>
  <si>
    <t>1004</t>
  </si>
  <si>
    <t>Закон Красноярского края от 24.12.2009 № 9-4225 "О наделении органов местного самоуправления отдельных муниципальных районов и городских округов края государственными полномочиями по обеспечению жилыми помещениями детей-сирот и детей, оставшихся без попечения родителей, а также лиц из их числа, не имеющих жилого помещения"</t>
  </si>
  <si>
    <t>01.01.2010 - не установ</t>
  </si>
  <si>
    <t>Закон Красноярского края от 02.11.2000 № 12-961 "О защите прав ребенка"</t>
  </si>
  <si>
    <t>ст.17</t>
  </si>
  <si>
    <t>09.12.2000 - не установ</t>
  </si>
  <si>
    <t>Финансовое управление администрации города Канска</t>
  </si>
  <si>
    <t xml:space="preserve">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 </t>
  </si>
  <si>
    <t>0106, 0111, 0113</t>
  </si>
  <si>
    <t>ст16, пункт 1, п/пункт 1</t>
  </si>
  <si>
    <t>01.01.2011 - не установ</t>
  </si>
  <si>
    <t xml:space="preserve">Решение Канского городского Совета депутатов №31-170 от 15.03.2012 г. "О положении о Контрольно-счетной комиссии города Канска" </t>
  </si>
  <si>
    <t>21.03.2012 - не установ</t>
  </si>
  <si>
    <t xml:space="preserve">муниципальное казенное учреждение "Управление по делам гражданской обороны и чрезвычайным ситуациям администрации города Канска" </t>
  </si>
  <si>
    <t xml:space="preserve">участие в предупреждении и ликвидации последствий чрезвычайных ситуаций в границах городского округа </t>
  </si>
  <si>
    <t>Федеральный закон от 21.12.1994 № 68-ФЗ "О защите населения и территорий от чрезвычайных ситуаций природного и техногенного характера"</t>
  </si>
  <si>
    <t>ст.11, пункт 2</t>
  </si>
  <si>
    <t>24.12.1994 - не установ</t>
  </si>
  <si>
    <t>Закон Красноярского края от 02.11.2001 № 16-1558 "О резервах материально-технических ресурсов для ликвидации чрезвычайных ситуаций на территории Красноярского края"</t>
  </si>
  <si>
    <t>03.12.2001 - не установ</t>
  </si>
  <si>
    <t>Закон Красноярского края от 10.02.2000 № 9-631 "О защите населения и территории Красноярского края от чрезвычайных ситуаций природного и техногенного характера"</t>
  </si>
  <si>
    <t>ст.9, пункт 1, п/пункт "и"</t>
  </si>
  <si>
    <t>01.03.2000 - не установ</t>
  </si>
  <si>
    <t>Постановление администрации г. Канска Красноярского края от 20.11.2012 N 1770 (ред. от 06.11.2014) "Об утверждении Положения об автоматизированной системе централизованного оповещения гражданской обороны города Канска"</t>
  </si>
  <si>
    <t xml:space="preserve">обеспечение первичных мер пожарной безопасности в границах городского округа </t>
  </si>
  <si>
    <t>Федеральный закон от 21.12.1994 № 69-ФЗ "О пожарной безопасности"</t>
  </si>
  <si>
    <t>05.01.1995 - не установ</t>
  </si>
  <si>
    <t>ст.16, пункт 1, п/пункт 10</t>
  </si>
  <si>
    <t>ст.10;абз.3
ст.19
ст.31;абз.2</t>
  </si>
  <si>
    <t>ст.6 п 31</t>
  </si>
  <si>
    <t>Управление образование администрации города Канска</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</si>
  <si>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 </t>
  </si>
  <si>
    <t>0701,0702,0703,0707,0709</t>
  </si>
  <si>
    <t>ст.16, пункт 1, п/пункт 13</t>
  </si>
  <si>
    <t>Закон Красноярского края от 07.07.2009 № 8-3618  "Об обеспечении прав детей на отдых, оздоровление и занятость в Красноярском крае"</t>
  </si>
  <si>
    <t>31.07.2009 - не установ</t>
  </si>
  <si>
    <t>Закон Красноярского края от 26.06.2014 № 6-2519 "Об образовании в Красноярском крае"</t>
  </si>
  <si>
    <t>26.07.2014 - не установ</t>
  </si>
  <si>
    <t>ст.6 п 7.</t>
  </si>
  <si>
    <t>01.04.2015 - не установ</t>
  </si>
  <si>
    <t>29.12.2010 - не установ</t>
  </si>
  <si>
    <t>0702</t>
  </si>
  <si>
    <t>Федеральный закон от 29.12.2012 № 273-ФЗ "Об образовании в Российской Федерации"</t>
  </si>
  <si>
    <t>ст.8, часть 1, пункт 3</t>
  </si>
  <si>
    <t>30.12.2012 - не установ</t>
  </si>
  <si>
    <t>Постановление администрации города Канска от 16.06.2016 №541 "Об утверждении порядка расходования субвенций на финансовое обеспечение государственных гарантий реализации прав граждан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расположенных на территории Красноярского края"</t>
  </si>
  <si>
    <t xml:space="preserve">Субвенции бюджетам муниципальных образований края на реализацию Закона края от 27 декабря 2005 года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 обучающихся в муниципальных и негосударственных образовательных учреждениях, реализующих основные общеобразовательные программы, без взимания платы" </t>
  </si>
  <si>
    <t>Закон Красноярского края от 27.12.2005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 обучающихся в муниципальных образовательных учреждениях, реализующих основные общеобразовательные программы, без взимания платы"</t>
  </si>
  <si>
    <t>cт.в целом</t>
  </si>
  <si>
    <t>13.01.2006 - не установ</t>
  </si>
  <si>
    <t>Постановление администрации г.Канска Красноярского края от 20.05.2010 № 803 "Об утверждении Порядка расходования субвенции на обеспечение питанием детей, обучающихся в муниципальных образовательных учреждениях, реализующих основные общеобразовательные программы, без взимания платы"</t>
  </si>
  <si>
    <t>09.06.2010 - не установ</t>
  </si>
  <si>
    <t>Субвенции бюджетам муниципальных образований края на реализацию Закона края от 27 декабря 2005 года № 17-4379 "О наделении органов местного самоуправления муниципальных районов и городских округов края государственными полномочиями поосуществлению присмотра и ухода за детьми-инвалидами, деьтми-сиротами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</si>
  <si>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Закон Красноярского края от 27.12.2005 № 17-4379 "О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</si>
  <si>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01.01.2006 - не установ</t>
  </si>
  <si>
    <t>Постановление администрации г.Канска Красноярского края от 08.05.2014 № 671 "Об утверждении порядка расходования средств субвенции на осуществление государственных полномочий по осуществлению присмотра и уходу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и об отмене постановления администрации г. Канска от 15.06.2010 №940, от 02.04.2012 №469"</t>
  </si>
  <si>
    <t>14.05.2014 - не установ</t>
  </si>
  <si>
    <t>Субвенции бюджетам муниципальных образований края на реализацию Закона края от 29 марта 2007 года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</si>
  <si>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Закон Красноярского края от 29.03.2007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</si>
  <si>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25.04.2007 - не установ</t>
  </si>
  <si>
    <t>02.08.2017 - не установ</t>
  </si>
  <si>
    <t>0701</t>
  </si>
  <si>
    <t>Постановление администрации г. Канска Красноярского края от 17.10.2016 N 1045 "Об утверждении Порядка расходования средств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t>
  </si>
  <si>
    <t>19.10.2016 - не установ</t>
  </si>
  <si>
    <t>0709</t>
  </si>
  <si>
    <t>Закон Красноярского края от 20.12.2007 № 4-1089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</si>
  <si>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Постановление администрации города Канска от 13.05.2010 № 754 "Об утверждении порядка расходования субвенции направленной на осуществление государственных полномочий по организации и осуществлению деятельности по опеке и попечительству в отношении несовершеннолетних"</t>
  </si>
  <si>
    <t>19.05.2010 - не установ</t>
  </si>
  <si>
    <t>0505</t>
  </si>
  <si>
    <t>Постановление администрации города Канска от 31.12.10 № 2229 "Об утверждении Устава МУ "Служба заказчика"</t>
  </si>
  <si>
    <t>31.12.2010 не установ</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</si>
  <si>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</si>
  <si>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0502</t>
  </si>
  <si>
    <t>ст.16, пункт 1, п/пункт 4
ст.16, пункт 1, п/пункт 5</t>
  </si>
  <si>
    <t>Федеральный закон от 30.12.2004 № 210-ФЗ "Об основах регулирования тарифов организаций коммунального комплекса"</t>
  </si>
  <si>
    <t>ст. 5</t>
  </si>
  <si>
    <t>Постановление  администрации Красноярского  края от 24.05.1999 № 286-п "О Концепции реформирования и модернизации жилищно-коммунального хозяйства Красноярского края"</t>
  </si>
  <si>
    <t>ст. в целом</t>
  </si>
  <si>
    <t>24.05.1999 - не установ</t>
  </si>
  <si>
    <t>ст.6 п 4</t>
  </si>
  <si>
    <t xml:space="preserve">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t>
  </si>
  <si>
    <t>0409</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</si>
  <si>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</si>
  <si>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 13, 34
ст.6, пункт 9</t>
  </si>
  <si>
    <t>12.11.2007 - не установ</t>
  </si>
  <si>
    <t>Закон Красноярского края от 10.11.2011 № 13-6411 "О дорожном фонде Красноярского края"</t>
  </si>
  <si>
    <t>01.01.2012 - не установ</t>
  </si>
  <si>
    <t>Постановление администрации г.Канска Красноярского края от 31.01.2013 № 82 "Об утверждении Порядка содержания и ремонта автомобильных дорог общего пользования местного значения на территории города Канска"</t>
  </si>
  <si>
    <t>06.02.2013 - не установ</t>
  </si>
  <si>
    <t>Решение Канского городского Совета депутатов от 25.09.2013 г. №52-278 "О муниципальном дорожном фонде города Канска"</t>
  </si>
  <si>
    <t>01.01.2014 - не установ</t>
  </si>
  <si>
    <t>ст.6 п 18</t>
  </si>
  <si>
    <t>cт.16, пункт 1, п/пункт 6</t>
  </si>
  <si>
    <t xml:space="preserve">создание условий для предоставления транспортных услуг населению и организация транспортного обслуживания населения в границах городского округа </t>
  </si>
  <si>
    <t>0408</t>
  </si>
  <si>
    <t>cт.16, пункт 1, п/пункт 7</t>
  </si>
  <si>
    <t xml:space="preserve">Постановление  администрации Красноярского  края от 24.09.2001 № 670-п "О государственном регулировании цен (тарифов) в крае" </t>
  </si>
  <si>
    <t>14.10.2001 - не установ</t>
  </si>
  <si>
    <t>Закон Красноярского края от 09.12.2010 № 11-5424 "О транспортном обслуживании населения в Красноярском крае"</t>
  </si>
  <si>
    <t>ст. 7</t>
  </si>
  <si>
    <t>08.01.2011 - не установ</t>
  </si>
  <si>
    <t>01.02.2017 - не установ</t>
  </si>
  <si>
    <t xml:space="preserve">создание условий для обеспечения жителей городского округа услугами связи, общественного питания, торговли и бытового обслуживания </t>
  </si>
  <si>
    <t>ст.16, пункт 1, п/пункт 15</t>
  </si>
  <si>
    <t xml:space="preserve">создание условий для массового отдыха жителей городского округа и организация обустройства мест массового отдыха населения </t>
  </si>
  <si>
    <t>ст.16, пункт 1, п/пункт 20</t>
  </si>
  <si>
    <t>Закон Красноярского края от 28.06.2007 № 2-190 "О культуре"</t>
  </si>
  <si>
    <t>31.07.2007 - не установ</t>
  </si>
  <si>
    <t>ст.10, пункт 1, п/пункт "б"
ст.22</t>
  </si>
  <si>
    <t>Постановление администрации города Канска  от 23.04.2012 № 620 "Об утверждении Положения о порядке предоставления и расходования средств на организацию и проведение акарицидных обработок мест массового отдыха населения"</t>
  </si>
  <si>
    <t>02.05.2012 - не установ</t>
  </si>
  <si>
    <t>ст.6 п 12.</t>
  </si>
  <si>
    <t xml:space="preserve">организация ритуальных услуг и содержание мест захоронения </t>
  </si>
  <si>
    <t>0503</t>
  </si>
  <si>
    <t>ст.16, пункт 1, п/пункт 23</t>
  </si>
  <si>
    <t xml:space="preserve">Федеральный закон от 12.01.1996 № 8-ФЗ "О погребении и похоронном деле"  </t>
  </si>
  <si>
    <t>ст.9, пункт 3</t>
  </si>
  <si>
    <t>15.01.1996 - не установ</t>
  </si>
  <si>
    <t>Закон Красноярского края от 24.04.1997 № 13-487 "О семейных (родовых) захоронениях на территории Красноярского края"</t>
  </si>
  <si>
    <t>18.05.1997 - не установ</t>
  </si>
  <si>
    <t>Постановление администрации города Канска  от 11.03.2010 № 320 "Об утверждении Положения о порядке расходования средств городского бюджета, выделяемых на оплату работ по организации содержания мест захоронения на кладбищах г. Канска"</t>
  </si>
  <si>
    <t>14.04.2010 - не установ</t>
  </si>
  <si>
    <t>ст.6 п 28.</t>
  </si>
  <si>
    <t>ст.16, пункт 1, п/пункт 24</t>
  </si>
  <si>
    <t>Федеральный закон от 24.06.1998 № 89-ФЗ "Об отходах производства и потребления"</t>
  </si>
  <si>
    <t>ст.8, пункт 1</t>
  </si>
  <si>
    <t>30.06.1998 - не установ</t>
  </si>
  <si>
    <t>Федеральный закон от 10.01.2002 № 7-ФЗ "Об охране окружающей среды"</t>
  </si>
  <si>
    <t>ст.7, пункт 1</t>
  </si>
  <si>
    <t>12.01.2002 - не установ</t>
  </si>
  <si>
    <t>Закон Красноярского края от 20.09.2013 № 5-1597 "Об экологической безопасности и охране окружающей среды в Красноярском крае"</t>
  </si>
  <si>
    <t>13.10.2013 - не установ</t>
  </si>
  <si>
    <t>ст.6 п 29.</t>
  </si>
  <si>
    <t>Постановление администрации города Канска от 23.09.2011 № 1775 "Об утверждении Порядка расходования средств, выделенных на разработку проектной документации и строительство полигона твердых бытовых отходов города Канска"</t>
  </si>
  <si>
    <t>28.09.2011 - не установ</t>
  </si>
  <si>
    <t xml:space="preserve">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 </t>
  </si>
  <si>
    <t>ст.16, пункт 1, п/пункт 25</t>
  </si>
  <si>
    <t>ст.6 п 23.</t>
  </si>
  <si>
    <t xml:space="preserve">Закон Красноярского края от 20.12.2012 № 3-959 "О наделении органов местного самоуправления городских округов и муниципальных районов края отдельными государственными полномочиями Красноярского края по реализации временных мер поддержки населения в целях обеспечения доступности коммунальных услуг" </t>
  </si>
  <si>
    <t>01.01.2013 - не установ</t>
  </si>
  <si>
    <t>Закон Красноярского края от 13.06.2013 № 4-1402 "О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 учету, содержанию и иному обращению с безнадзорными домашними животными"</t>
  </si>
  <si>
    <t>11.07.2013 - не установ</t>
  </si>
  <si>
    <t xml:space="preserve">Отдел физической культуры, спорта и молодежной политики администрации г. Канска </t>
  </si>
  <si>
    <t>1105</t>
  </si>
  <si>
    <t>28.11.2012 не установ</t>
  </si>
  <si>
    <t>0703</t>
  </si>
  <si>
    <t xml:space="preserve">организация и осуществление мероприятий по работе с детьми и молодежью в городском округе </t>
  </si>
  <si>
    <t>0707</t>
  </si>
  <si>
    <t>ст.16, пункт 1, п/пункт 34</t>
  </si>
  <si>
    <t>Закон Красноярского края от 08.12.2006 № 20-5445 "О государственной молодежной политике Красноярского края"</t>
  </si>
  <si>
    <t>ст. 8</t>
  </si>
  <si>
    <t>06.01.2008 - не установ</t>
  </si>
  <si>
    <t>Постановление администрации города Канска от 16.06.2010 № 945 "Об утверждении Порядка расходования субсидии на поддержку деятельности Муниципального учреждения "Многопрофильный молодежный центр" города Канска"</t>
  </si>
  <si>
    <t>23.06.2010 - не установ</t>
  </si>
  <si>
    <t xml:space="preserve">обеспечение условий для развития на территории городского округа физической культуры и массового спорта, организация проведения официальных физкультурно-оздоровительных и спортивных мероприятий городского округа </t>
  </si>
  <si>
    <t>1101</t>
  </si>
  <si>
    <t>ст.16, пункт 1, п/пункт 19</t>
  </si>
  <si>
    <t>Федеральный закон от 04.12.2007 № 329-ФЗ "О физической культуре и спорте в Российской Федерации"</t>
  </si>
  <si>
    <t>ст. 9</t>
  </si>
  <si>
    <t>30.03.2008 - не установ</t>
  </si>
  <si>
    <t xml:space="preserve">Отдел культуры администрации г. Канска </t>
  </si>
  <si>
    <t>0804</t>
  </si>
  <si>
    <t>Решение Канского городского Совета депутатов Красноярского края от 16.11.2012 №43-222 "О Положении об отделе культуры администрации города Канска"</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</si>
  <si>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</si>
  <si>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0801</t>
  </si>
  <si>
    <t>cт.16, пункт 1, п/пункт 16</t>
  </si>
  <si>
    <t>Постановление Правительства РФ от 26.06.1995 № 609 "Об утверждении Положения об основах хозяйственной деятельности и финансирования организаций культуры и искусства"</t>
  </si>
  <si>
    <t>21.07.1995 - не установ</t>
  </si>
  <si>
    <t>Федеральный закон от 29.12.1994 № 78-ФЗ "О библиотечном деле"</t>
  </si>
  <si>
    <t>02.01.1995 - не установ</t>
  </si>
  <si>
    <t xml:space="preserve">ст.10 </t>
  </si>
  <si>
    <t>Закон Красноярского края от 17.05.1999 № 6-400 "О библиотечном деле в Красноярском крае"</t>
  </si>
  <si>
    <t>27.06.1999 - не установ</t>
  </si>
  <si>
    <t>22.06.2016 - не установ</t>
  </si>
  <si>
    <t xml:space="preserve">создание условий для организации досуга и обеспечения жителей городского округа услугами организаций культуры </t>
  </si>
  <si>
    <t>ст.16, пункт 1, п/пункт 17</t>
  </si>
  <si>
    <t xml:space="preserve">Закон РФ от 09.10.1992 № 3612-1 "Основы законодательства Российской Федерации о культуре" </t>
  </si>
  <si>
    <t>ст. 40</t>
  </si>
  <si>
    <t>17.11.1992 - не установ</t>
  </si>
  <si>
    <t>ст. 22</t>
  </si>
  <si>
    <t>Постановление администрации города Канска от 07.06.2016 № 509 "Об утверждении Административного регламента по предоставлению муниципальной услуги "Запись на обзорные, тематические и интерактивные экскурсии".</t>
  </si>
  <si>
    <t xml:space="preserve">Постановление администрации города Канска 512 от 07.06.2016 г. Об утверждении Административного регламента по предоставлению муниципальной услуги "Предоставление информации о времени и месте культурно-досуговых мероприятий, анонсы данных мероприятий в электронном виде" </t>
  </si>
  <si>
    <t>Постановление администрации г. Канска Красноярского края от 07.06.2016 №515 "Об утверждении Административного регламента по предоставлению муниципальной услуги "Предоставление информации о проведении ярмарок, выставок народного творчества, ремесел на территории муниципального образования"</t>
  </si>
  <si>
    <t>Управление архитектуры и инвестиций администрации города Канска</t>
  </si>
  <si>
    <t>Федеральный закон от 13.03.2006 №38-ФЗ "О рекламе"</t>
  </si>
  <si>
    <t>ст. 19</t>
  </si>
  <si>
    <t>15.03.2006- не установ</t>
  </si>
  <si>
    <t>Решение Канского городского Совета депутатов Красноярского края от 27.01.2011 № 14-85 "О правилах установки и эксплуатации рекламных конструкций на территории города Канска"</t>
  </si>
  <si>
    <t>02.02.2011 - не установ</t>
  </si>
  <si>
    <t>ст. 11</t>
  </si>
  <si>
    <t xml:space="preserve">Канский городской Совет депутатов </t>
  </si>
  <si>
    <t>0103, 0113</t>
  </si>
  <si>
    <t>0106</t>
  </si>
  <si>
    <t>Контрольно-счетная комиссия города Канска</t>
  </si>
  <si>
    <t>ст.34, пункт 9  ст.53, пункт 2</t>
  </si>
  <si>
    <t>ст.17; пункт 1, п/пункт 3</t>
  </si>
  <si>
    <t>ст.16; пункт 1, п/пункт 6</t>
  </si>
  <si>
    <t>ст.6 п.1</t>
  </si>
  <si>
    <t>1006</t>
  </si>
  <si>
    <t>Дополнительные гарантии муниципальным служащим в виде ежемесячных доплат к трудовой пенсии, пенсии за выслугу лет</t>
  </si>
  <si>
    <t>1001</t>
  </si>
  <si>
    <t>ст.20, пункт 5</t>
  </si>
  <si>
    <t>Решение Канского городского Совета депутатов Красноярского края от 02.07.2008 № 47-461 "О Порядке предоставления муниципальному служащему права на пенсию за выслугу лет за счет средств бюджета муниципального образования город Канск"</t>
  </si>
  <si>
    <t>ИТОГО</t>
  </si>
  <si>
    <t>27.01.2016- не установ</t>
  </si>
  <si>
    <t xml:space="preserve">Постановление администрации г. Канска Красноярского края от 16.02.2012 N 198 (ред. от 21.06.2016) "Об утверждении Административного регламента предоставления муниципальной услуги "Предоставление информации о проводимых на территории города спортивных и оздоровительных мероприятиях и прием заявок на участие в этих мероприятиях" </t>
  </si>
  <si>
    <t>22.02.2012 - не установ</t>
  </si>
  <si>
    <t>Постановление администрации г. Канска Красноярского края от 07.06.2016 N 511 "Об утверждении Административного регламента по предоставлению муниципальной услуги "Предоставление информации об организации дополнительного образования детей в сфере культуры"</t>
  </si>
  <si>
    <t>22.06.2016 не установ</t>
  </si>
  <si>
    <t>Устав от 17.07.2017 № 613 "Устав муниципального казенного учреждения "Межведомственный центр обслуживания"</t>
  </si>
  <si>
    <t>17.07.2017- не установ</t>
  </si>
  <si>
    <t>19.04.2017- не установ</t>
  </si>
  <si>
    <t xml:space="preserve">Устав МБУ "ММЦ" от 19.04.2017 №361 </t>
  </si>
  <si>
    <t>Отчетный период 2016 год</t>
  </si>
  <si>
    <t>24-118 от 18.12.2017</t>
  </si>
  <si>
    <t>Итого</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</si>
  <si>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</si>
  <si>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на формирование и содержание архивных фондов субъекта Российской Федерации</t>
  </si>
  <si>
    <t>по составлению списков кандидатов в присяжные заседатели</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</si>
  <si>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</si>
  <si>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на организацию и осуществление деятельности по опеке и попечительству</t>
  </si>
  <si>
    <t>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</si>
  <si>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</si>
  <si>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владение, пользование и распоряжение имуществом, находящимся в муниципальной собственности городского округа</t>
  </si>
  <si>
    <t>создание условий для организации досуга и обеспечения жителей городского округа услугами организаций культуры</t>
  </si>
  <si>
    <t>организация ритуальных услуг и содержание мест захоронения</t>
  </si>
  <si>
    <t xml:space="preserve">организация сбора, вывоза, утилизации и переработки бытовых и промышленных отходов  </t>
  </si>
  <si>
    <t xml:space="preserve">утверждение схемы размещения рекламных конструкций, выдача размещений на установку и эксплуатацию рекламных конструкций на территории городского округа </t>
  </si>
  <si>
    <t>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</si>
  <si>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расходы на обслуживание муниципального долга</t>
  </si>
  <si>
    <t>1301</t>
  </si>
  <si>
    <t xml:space="preserve">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  </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</si>
  <si>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определенными органами государственной власти субъектов РФ.</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</si>
  <si>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 - 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презда на общественном транспорте, иных социальных пособий, а также для возмещения расходов муниципальных образований в связи с представлением законами субъекта РФ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</si>
  <si>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РФ,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РФ</t>
  </si>
  <si>
    <t>сессия</t>
  </si>
  <si>
    <t>24.10.2017 - не установ.</t>
  </si>
  <si>
    <t xml:space="preserve"> 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</si>
  <si>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ст.66</t>
  </si>
  <si>
    <t>Решение Канского городского Совета депутатов от 25.11.2010 № 10-59 "О положение о Финансовом управлении администрации города Канска"</t>
  </si>
  <si>
    <t>Постановление администрации г. Канска Красноярского края от 31.10.2012 №1685 "О создании муниципального казенного учреждения "Централизованная бухгалтерия по ведению учета в сфере образования".</t>
  </si>
  <si>
    <t>31.10.2012 - не утанов</t>
  </si>
  <si>
    <t>Постановление администрации города Канска от 21.05.2018 г. №462 "Об утверждении Порядка расходования средств субвенции, направленной на осуществление органами местного самоуправления отдельных государственных полномочий в области архивного дела"</t>
  </si>
  <si>
    <t>Постановление администрации города Канска от 21.05.2018 №461 "Об утверждении Порядка расходования средств субвенции, направленной на осуществление органами местного самоуправления государственных полномочий по созданию и обеспечению деятельности административных комиссий"</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</si>
  <si>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t>
  </si>
  <si>
    <t>Расходные обязательства, возникшие в результате принятия нормативных правовых актов городского округа, заключения договоров (соглашений),в рамках реализации вопросов местного значения городского округа</t>
  </si>
  <si>
    <t>23.05.2018 не установ</t>
  </si>
  <si>
    <t>Постановление администрации г. Канска Красноярского края от 28.06.2018 №589 "Об утверждении Порядка расходования средств субвенции, направленной на осуществление государственных полномочий по составлению списков кандидатов в присяжные заседатели"</t>
  </si>
  <si>
    <t>04.07.2018 не установ</t>
  </si>
  <si>
    <t>Решение Канского городского Совета депутатов Красноярского края от 16.02.2011 № 15-91 "О Положении о порядке управления и распоряжения имуществом, находящимся в муниципальной собственности города Канска"</t>
  </si>
  <si>
    <t>Постановление администрации города Канска Красноярского края от 13.06.2018 г. № 543 "Об утверждении положения об обеспечении первичных мер пожарной безопасности в границах города Канска"</t>
  </si>
  <si>
    <t>20.06.2018 - не установ</t>
  </si>
  <si>
    <t>Постановление администрации города Канска Красноярского края от 28.02.2018 г. №172 "Об утверждении порядка расходования средств субвенции на оказание услуг по отлову и содержанию безнадзорных животных".</t>
  </si>
  <si>
    <t>07.03.2018 - не установ</t>
  </si>
  <si>
    <t>15.03.2017 - не установ</t>
  </si>
  <si>
    <t>Постановление администрация города Канска от 26.05.2016 г. №461 "Об организации питания детей, обучающихся в общеобразовательных организациях города Канска, без взимания платы".</t>
  </si>
  <si>
    <t>01.06.2016 - не установ</t>
  </si>
  <si>
    <t>0502,0505</t>
  </si>
  <si>
    <t>24.04.2019 - не установ.</t>
  </si>
  <si>
    <t>Постановление администрации города Канска от 19.04.2019 г. № 332 "Об утверждении Порядка расходования субвенции, направленной на осуществление государственных полномочий по организации и обеспечению отдыха и оздоровления детей."</t>
  </si>
  <si>
    <t>24.04.2019 - не установ</t>
  </si>
  <si>
    <t>Постановление администрации города Канска от 07.05.2019 г. №396 "Об утверждении Порядка расходования субсидии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</si>
  <si>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15.05.2019 - не установ</t>
  </si>
  <si>
    <t>0605</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</si>
  <si>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</si>
  <si>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ст.16, пункт 1, п/пункт 37</t>
  </si>
  <si>
    <t>Закон края от 11.07.2019 года №7-2988 "О наделении органов местного самоуправления муниципальных районов и городских округов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t>
  </si>
  <si>
    <t>02.09.2008-не установ</t>
  </si>
  <si>
    <t>Решение Канского городского Совета депутатов №43-428 от 26.03.2008 г. "О Положении по управлению муниципальным долгом города Канска"</t>
  </si>
  <si>
    <t>02.04.2008 - не установ</t>
  </si>
  <si>
    <t>09.07.2008- не установ</t>
  </si>
  <si>
    <t>Постановление администрации города Канска от 29.10.2019 №1026 "О возложении полномочий по назначению, перерасчету и выплате пенсии за выслугу лет лицам, замещавшим должности муниципальной службы в городе Канске"</t>
  </si>
  <si>
    <t>Постановление администрации г. Канска Красноярского края от 25.11.2019 г. №1124 "Об утверждении Порядка расходования средств субвенции, направленной на осуществление органами местного самоуправления государственных полномочий по организации и осуществлению деятельности по опеке и попечительству в отношении совершеннолетних граждан, а также в сфере патронажа".</t>
  </si>
  <si>
    <t>27.12.2017- не установ</t>
  </si>
  <si>
    <t>0412,0603</t>
  </si>
  <si>
    <t>27.11.2019 -не установ</t>
  </si>
  <si>
    <t>27.05.2020 -не установ.</t>
  </si>
  <si>
    <r>
      <rPr>
        <sz val="11"/>
        <rFont val="Times New Roman"/>
        <family val="1"/>
        <charset val="204"/>
      </rPr>
      <t>09.09.2020 -</t>
    </r>
    <r>
      <rPr>
        <sz val="11"/>
        <color theme="1"/>
        <rFont val="Times New Roman"/>
        <family val="1"/>
        <charset val="204"/>
      </rPr>
      <t xml:space="preserve"> не установ.</t>
    </r>
  </si>
  <si>
    <t>14.10.2020 - не установ.</t>
  </si>
  <si>
    <t>21.10.2020 - не установ.</t>
  </si>
  <si>
    <t>Субвенции бюджетам муниципальных образований для реализации отдельных государственных полномочий по осуществлению мониторинга состояния и развития лесной промышленности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лесного хозяйства"</t>
  </si>
  <si>
    <t>Постановление Правительства Красноярского края от 18.09.2020 №628-п "Об утверждении Порядка предоставления и распределения субсидий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</si>
  <si>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21.09.2020 - не установ</t>
  </si>
  <si>
    <t>Постановление Администрации города Канска от 27.10.2020 № 978 "Об утверждении Порядка расходования субсидии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</si>
  <si>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28.10.2020 - не установ.</t>
  </si>
  <si>
    <t xml:space="preserve">Решение Канского городского Совета депутатов Красноярского края от 28.08.2017 № 21-97 "О Правилах благоустройства территории муниципального образования город Канск" </t>
  </si>
  <si>
    <t>06.09.2017 - не установ.</t>
  </si>
  <si>
    <t>01.01.2021 - не установ.</t>
  </si>
  <si>
    <t>Постановление администрации города Канска Красноярского края от 16.10.2020 г. № 937 "О лимитах потребления электрической энергии, тепловой энергии и воды".</t>
  </si>
  <si>
    <t>Постановление администрации города Канска от 30.12.2020 г. №1207 "Об утверждении порядка предоставления грантов в форме субсидии частным образовательным организациям, организациям, осуществляющим обучение, индивидуальным предпринимателям, государственным образовательным организациям, муниципальным образовательным организациям, в отношении которых Управлением образования администрации города Канска не осуществляются функции и полномочия учредителя, включенными в реестр поставщиков образовательных услуг в рамках системы персонифицированного финансирования, в связи с оказанием услуг по реализации дополнительных общеобразовательных программ в рамках системы персонифицированного финансирования"</t>
  </si>
  <si>
    <t>Постановление администрации города Канска от 25.12.2020 №1161 "О предоставлении из бюджета города Канска муниципальным и бюджетным и автономным учреждениям субсидий на цели, не связанные с финансовым обеспечением выполнения муниципального задания на окзание муниципальных услуг (выполнение работ)"</t>
  </si>
  <si>
    <t>30.12.2020 - не установ</t>
  </si>
  <si>
    <t xml:space="preserve">Постановление администрации города Канска от 25.02.2020 № 163 "Об организации трудового воспитания несовершеннолетних граждан" </t>
  </si>
  <si>
    <t>04.03.2020 - не установ</t>
  </si>
  <si>
    <t>Постановление администрации города Канска от 25.12.2020 №1161 "О предоставлении из бюджета города Канска муниципальным и бюджетным и автономным учреждениям субсидий на цели, не связанные с финансовым обеспечением выполнения муниципального задания на окзан</t>
  </si>
  <si>
    <t>13.12.2017 -  не установ</t>
  </si>
  <si>
    <t>Постановление администрации города Канска от 21.06.2018 №554 "Об определении форм участия граждан в обеспечении первичных мер пожарной безопасности, в том числе в деятельности добровольной пожарной охраны на территории города Канска"</t>
  </si>
  <si>
    <t>11.07.2018- не установ</t>
  </si>
  <si>
    <t>Постановление администрации город Канска Красноярского кра от 20.09.2011 №1708 "Об участии населения в обеспечении дорожного движения и охране общественного порядка на территории муниципального образования город Канск"</t>
  </si>
  <si>
    <t>05.10.2011 - не установ</t>
  </si>
  <si>
    <t>31.05.2019 - не установ</t>
  </si>
  <si>
    <t>2601, 2602</t>
  </si>
  <si>
    <t>2601.2602</t>
  </si>
  <si>
    <t>2541, 2542</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</si>
  <si>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гос.власти РФ и (или) орган гос. власти субъекта РФ</t>
  </si>
  <si>
    <t>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t>
  </si>
  <si>
    <r>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r>
    <r>
      <rPr>
        <sz val="11"/>
        <color rgb="FFFF0000"/>
        <rFont val="Times New Roman"/>
        <family val="1"/>
        <charset val="204"/>
      </rPr>
      <t xml:space="preserve"> (в части дошкольного образования в  муниципальных дошкольных образовательных организациях и муниципальных общеобразовательных организациях)</t>
    </r>
  </si>
  <si>
    <r>
      <t xml:space="preserve">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t>
    </r>
    <r>
      <rPr>
        <sz val="11"/>
        <color rgb="FFFF0000"/>
        <rFont val="Times New Roman"/>
        <family val="1"/>
        <charset val="204"/>
      </rPr>
      <t>(в части начального общего, основного общего, среднего общего образования в муниципальных общеобразовательных организациях в городской местности)</t>
    </r>
  </si>
  <si>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обеспечения дополнительного образования детей в муниципальных общеобразовательных организациях)</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</si>
  <si>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</si>
  <si>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 xml:space="preserve">Расходные обязательства, возникшие в результате принятия нормативных правовых актов городского округа, заключения договоров (соглашений) </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</si>
  <si>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</si>
  <si>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 xml:space="preserve"> 0412</t>
  </si>
  <si>
    <t>3201,   3202</t>
  </si>
  <si>
    <t>организация проведения официальных физкультурно-оздоровительных и спортивных мероприятий городского округа</t>
  </si>
  <si>
    <t xml:space="preserve"> оказание поддержки социально ориентированным некоммерческим организациям, благотворительной деятельности и добровольчеству волонтерству)</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</si>
  <si>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</si>
  <si>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ст.6 п 17.</t>
  </si>
  <si>
    <t>Постановление администрации города Канска от 22.10.2021 №895 "Об утверждении Порядка расходования субвенции на реализацию отдельных государственных полномочий по осуществлению мониторинга состояния и развития лесной промышленности"</t>
  </si>
  <si>
    <t>Постановление администрации города Канска от 13.10.2021 №864 "Об утверждении порядка расходования средств субсидии из краевого бюджета на поддержку физкультурно-спортивных клубов по месту жительства"</t>
  </si>
  <si>
    <t>20.10.2021 - не установ.</t>
  </si>
  <si>
    <t>Постановление администрации города Канска от 11.10.2021 №844 "Об утверждении порядка расходования средств субсидии из краевого бюджета на обеспечение муниципальных организаций, осуществляющих спортивную подготовку, в соответствии с требованием федеральных стандартов спортивной подготовки".</t>
  </si>
  <si>
    <t>13.10.2021 - не установ.</t>
  </si>
  <si>
    <t>Постановления администрации города Канска от 11.10.2021 №843 "Об утверждении порядка расходования средств субсидии из краевого бюджета на развитие детско-юнешского спорта"</t>
  </si>
  <si>
    <t>27.10.2021 - не установ.</t>
  </si>
  <si>
    <t>Постановление администрации города Канска от 25.02.2021 № 128 "Об утверждении порядка определения объема и условия предоставления из бюджета города Канска муниципальным бюджетным учреждениям физической культуры, спорта и молодежной политики субсидии на иные цели</t>
  </si>
  <si>
    <t>03.03.2021 - не установ.</t>
  </si>
  <si>
    <t>Постановление администрации города Канска от 10.12.2021 г. №1049 "Об осуществлении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законадательством статус детей-сирот, детей, оставшихся без попечения родителей, лиц из числа детей-сирот и детей, оставшихся без попечения родителей"</t>
  </si>
  <si>
    <t>23.07.2021- не установ.</t>
  </si>
  <si>
    <t>10.12.2021 не установ.</t>
  </si>
  <si>
    <t>Постановление администрации города Канска от 16.12.2021 г. №1136 "Об утверждении Порядка расходования средств субсидии на государственную поддержку отрасли культуры (модернизация библиотек в части комплектования книжных фондов).</t>
  </si>
  <si>
    <t>22.12.2021-не установ</t>
  </si>
  <si>
    <t>02.02.2022- не установ</t>
  </si>
  <si>
    <t>Постановление администрации города Канска от 21.01.2022 №39 "Об утверждении Порядка расходования средств субсидии, предоставяемых городу Канску Красноярского врая в целях софинансирования мероприятий по поддержке и развитию малого и среднего предпринимательства</t>
  </si>
  <si>
    <t>21.01.2022-не установ</t>
  </si>
  <si>
    <t>Постановление администрации города Канска от 17.02.2022 №117 "Об организации функционирования единой дежурно-диспетчерской службы города Канска Красноярского края, признания утратившим силу постонавления администрации города Канска от 16.02.2012 №197"</t>
  </si>
  <si>
    <t>17.02.2022 не установ.</t>
  </si>
  <si>
    <t>Постановление администрации города Канска от 22.02.2022 г. №142 "Об утверждении Порядка предоставления субсидий субъектам малого и среднего предпринимательства и самозанятым гражданам на возмещение затрат при осуществлении предпринимательской деятельности".</t>
  </si>
  <si>
    <t>Постановление администрации города Канска от 21.03.2022 №239 "Об утверждении порядка расходования 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t>
  </si>
  <si>
    <t>23.03.2022 - не установ.</t>
  </si>
  <si>
    <t>Руководитель Финансового управления администрации города Канска</t>
  </si>
  <si>
    <t>Н.А. Тихомирова</t>
  </si>
  <si>
    <t>Постановление администрации города Канска Красноярского края от 16.02.2015 г. №205 "О создании Муниципального казенного учреждения "Централизованная бухгалтерия"</t>
  </si>
  <si>
    <t>06.11.2019 - не установ</t>
  </si>
  <si>
    <t>Постановление администрации г. Канска от 03.12.2021 г. № 1009 "Об утверждении положения о порядке предоставления субсидии в целях возмещения недополученных доходов, возникающих в связи с применением предельного индекса при оказании коммунальных услуг"</t>
  </si>
  <si>
    <t>08.12.2021 - не устан.</t>
  </si>
  <si>
    <t>Постановление администрации города Канска от 08.06.2021 г. № 500 "Об утверждении административного регламента предоставления муниципальной услуги "Предоставления доступа к оцифрованным изданиям, хранящимся в Муниципальном бюджетном учреждений культуры "Централизованная библиотечная система г. Канска" с учетом соблюдения требований законодательства РФ об авторских и смешаных правах"</t>
  </si>
  <si>
    <t>09.06.2021 - не установ</t>
  </si>
  <si>
    <t>Постановление администрации города Канска от 08.06.2021 г. №501 "Об утверждении административного регламента предоставления муниципальной услуги "Предосталвения доступа к справочно-поисковому аппарату библиотек, базам данных муниципального бюджетного учреждения культуры "Централизованная библиотечная система г. Канска"</t>
  </si>
  <si>
    <t>Решение Канского городского Совета депутатов от 10.03.2021 г. №5-37 "О положении об управлении градостроительства администрации города Канска"</t>
  </si>
  <si>
    <t>01.06.2021 - не установ</t>
  </si>
  <si>
    <t>Решение Канского городского Совета депутатов от 10.03.2021 г. № 5-37 "О положении об управлении градостроительства администрации города Канска"</t>
  </si>
  <si>
    <t>23.02.2022 -не установ</t>
  </si>
  <si>
    <t>18.02.2015 не установ</t>
  </si>
  <si>
    <t>28.01.2022 - 31.12.2024</t>
  </si>
  <si>
    <t>содействие развитию малого и среднего предпринимательства</t>
  </si>
  <si>
    <t xml:space="preserve">материально-техническое и финансовое обеспечение деятельности органов местного самоуправления </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</si>
  <si>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</si>
  <si>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по составлению (изменению) списков кандидатов в присяжные заседатели</t>
  </si>
  <si>
    <t>за счет субвенций, предоставленных из бюджета субъекта Российской Федерации, всего</t>
  </si>
  <si>
    <t>формирование и содержание архивных фондов субъекта Российской Федерации</t>
  </si>
  <si>
    <t>3202.3</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</si>
  <si>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</si>
  <si>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</si>
  <si>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материально-техническое и финансовое обеспечение деятельности органов местного самоуправления</t>
  </si>
  <si>
    <t>обслуживание долговых обязательств в части процентов, пеней и штрафных санкций по бюджетным кредитам, полученным из региональных бюджетов</t>
  </si>
  <si>
    <t>предоставление доплат за выслугу лет к трудовой пенсии муниципальным служащим за счет средств местного бюджета</t>
  </si>
  <si>
    <t xml:space="preserve">2522, 2523, 2525, 2526, 2527 </t>
  </si>
  <si>
    <r>
      <t xml:space="preserve">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t>
    </r>
    <r>
      <rPr>
        <sz val="11"/>
        <color rgb="FFFF0000"/>
        <rFont val="Times New Roman"/>
        <family val="1"/>
        <charset val="204"/>
      </rPr>
      <t>бесплатным горячим питанием</t>
    </r>
    <r>
      <rPr>
        <sz val="11"/>
        <color theme="1"/>
        <rFont val="Times New Roman"/>
        <family val="1"/>
        <charset val="204"/>
      </rPr>
      <t xml:space="preserve">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r>
  </si>
  <si>
    <t>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РФ</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</si>
  <si>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</si>
  <si>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 xml:space="preserve">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отходоворганизация сбора, вывоза, утилизации и переработки бытовых и промышленных отходов </t>
  </si>
  <si>
    <t>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</si>
  <si>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Материально-техническое и финансовое обеспечение деятельности органов местного самоуправления</t>
  </si>
  <si>
    <t>на установление подлежащих государственному регулированию цен (тарифов) на товары (услуги) в соответствии с законодательством Российской Федерации (за исключением расходных обязательств, отраженных по иным кодам расходных обязательств)</t>
  </si>
  <si>
    <t>обеспечение условий для развития на территории городского округа физической культуры, школьного спорта и массового спорта</t>
  </si>
  <si>
    <t>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от 13 марта 2006 г. № 38-ФЗ «О рекламе»</t>
  </si>
  <si>
    <t>материально-техническоеи финансовое обеспечение деятельности органов местного самоуправления</t>
  </si>
  <si>
    <t xml:space="preserve">материально-техническоеи финансовое обеспечение деятельности органов местного самоуправления  </t>
  </si>
  <si>
    <t xml:space="preserve">материально-техническоеи финансовое обеспечение деятельности органов местного самоуправления   </t>
  </si>
  <si>
    <t>за счет субвенций, предоставленных из бюджета субъекта Российской Федерации</t>
  </si>
  <si>
    <t>Постановление администрации города Канска от 23.12.2021 №1189 "Об утверждении Порядка расходования иного межбюджетного трансферта, предоставленного бюджету города Канска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муниципальных, городских округов и муниципальных районов Красноярского края"</t>
  </si>
  <si>
    <t>Постановление администрации города Канска от 24.12.2021 №1195 "Об утверждении Порядка осуществления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</si>
  <si>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29.12.2021 - не установ</t>
  </si>
  <si>
    <t>Постановление администрации города Канска 894 от 08.08.2022 г. "Об утверждении Порядка расходования средств субсидии на реализацию муниципальных программ, подпрограмм, направленных на реализацию мероприятий в сфере укрепления межнационального и межконфессионального согласия"</t>
  </si>
  <si>
    <t>10.08.2022 - не установ</t>
  </si>
  <si>
    <t>0113,0707</t>
  </si>
  <si>
    <t>1101, 1103</t>
  </si>
  <si>
    <t>Постановление администрации города Канска от 20.10.2022 №1192 "Об утверждении Порядка расходования субсидии на увеличение охвата детей, обучающихся по дополнительным общеразвивающим программам"</t>
  </si>
  <si>
    <t>26.10.2022 - не установ.</t>
  </si>
  <si>
    <t>29.12.2021 - не установ.</t>
  </si>
  <si>
    <t xml:space="preserve">Управление строительства и жилищно-коммунального хозяйства  администрации города Канска </t>
  </si>
  <si>
    <t>28.12.2022 - не установ.</t>
  </si>
  <si>
    <t xml:space="preserve">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 </t>
  </si>
  <si>
    <t>0107</t>
  </si>
  <si>
    <t>ст.17,  пункт 1, п/пункт 5</t>
  </si>
  <si>
    <t>Закон Красноярского края от 02.10.2003 № 8-1411  "О выборах в органы местного самоуправления в Красноярском крае"</t>
  </si>
  <si>
    <t>ст.5, пункт 1
ст.43, пункт 1</t>
  </si>
  <si>
    <t>08.11.2003 - не установ</t>
  </si>
  <si>
    <t>Федеральный закон от 12.06.2002 № 67-ФЗ "Об основных гарантиях избирательных прав и права на участие в референдуме граждан Российской Федерации"</t>
  </si>
  <si>
    <t>ст.57, пункт 1</t>
  </si>
  <si>
    <t>26.06.2002 - не установ</t>
  </si>
  <si>
    <t>Постановление администрации города Канска от 08.12.2017 №1116 "Об утверждении положения об условиях и порядке предоставления субсидии социально ориентированной некоммерческой организации на финансирование создания и обеспечения деятельности муниципального ресурсного центра поддержки общественных инициатив."</t>
  </si>
  <si>
    <t>Постановление администрации города Канска от 03.11.2022 г. №1255 "Об утверждении порядка использования бюджетных ассигнований резервного фонда администрации города Канска"</t>
  </si>
  <si>
    <t>09.11.2022 - не установ</t>
  </si>
  <si>
    <t>Постановление администрации города Канска от 11.01.2023 № 03 "О муниципальном звене территориальной подсистемы единой государственной системы предупреждения и ликвидации чрезвычайных ситуаций города Канска Красноярского края, признании утратившим силу постановления администрации города Канска от 19.08.2015 г. №1308"</t>
  </si>
  <si>
    <t>11.01.2023 - не установ</t>
  </si>
  <si>
    <t>Соглашение о предоставлении иного межбюджетного трансферта, имеющего целевое назначение, из бюджета субъекта РФ местному бюджету от 28.01.2022 № 04720000-1-2020-009</t>
  </si>
  <si>
    <t>Постановление администрации города Канска от 04.05.2023 г. №515 "Об утверждении Порядка предоставления грантовой поддержки субъектам малого и среднего предпринимательства на начало ведения предпринимательской деятельности"</t>
  </si>
  <si>
    <t>10.05.2023 - не установ</t>
  </si>
  <si>
    <t>Постановление администрации города Канска от 07.11.2023 №1325 "Об утверждении порядка по обеспечению отдельных категорий граждан автономными дымовыми пожарными извещателями на территории муниципального образования город Канск"</t>
  </si>
  <si>
    <t>08.11.2023 не установ.</t>
  </si>
  <si>
    <t>поддержка деятельности некоммерческих организаций, за исключением социально ориентированных организаций</t>
  </si>
  <si>
    <t>0310</t>
  </si>
  <si>
    <t>Постановление администрации города Канска от 13.02.2024 №134 "Об утверждении Порядка расходования средств иных межбюджетных трансфертов из краевого бюджета на осуществление расходов, направленных на реализацию мероприятий по поддержке местных инициатив, и представления отчетности об их использовании"</t>
  </si>
  <si>
    <t>14.02.2024 - не установ.</t>
  </si>
  <si>
    <t xml:space="preserve">Постановление администрации г. Канска Красноярского края от 18.03.2024 N 339
"Об утверждении Порядка расходования субсидии бюджетам муниципальных образований Красноярского края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t>
  </si>
  <si>
    <t>20.03.2024 - не установ.</t>
  </si>
  <si>
    <t xml:space="preserve">Постановление администрации г. Канска Красноярского края от 18.03.2024 N 340
"Об утверждении Порядка расходования субсидии бюджетам муниципальных образований Красноярского края на приведение зданий и сооружений общеобразовательных организаций в соответствие с требованиями законодательства"
</t>
  </si>
  <si>
    <t>Постановление администрации города Канска от 10.04.2024 г. №540 "Об утверждении Порядка расходования субсидий на создание условий для оснащения (обновления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аддаптированным основным общеобразовательным программам"</t>
  </si>
  <si>
    <t>Постановление администрации города Канска от 10.04.2024 №541 "Об утверждении Порядка расходования субсидий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</si>
  <si>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</si>
  <si>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ст.6 п 1</t>
  </si>
  <si>
    <t>09.02.2024 - 31.12.2024</t>
  </si>
  <si>
    <t>Соглашение  о предоставлении субсидии бюджету города Канска Красноярского края из краевого бюджета на реализацию муниципальной программы развития субъектов малого и среднего предпринимательства от 09.02.2024 №08-1/2024</t>
  </si>
  <si>
    <t>Осуществление отдельных государственных полномочий по обеспечению предоставления меры социальной поддержки гражданам, достигшим возраста 21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</si>
  <si>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Закон красноярского края от 08.07.2021 №11-5284 "О наделении органов местного самоуправления муниципальных районов, муниципальных округов и городских округов края отдельными государственными полномочиями по обеспечению предоставления мер социальной поддержки гражданам, достигших возраста 21 года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</si>
  <si>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Федеральный закон от 21.12.2021 г. № 414-ФЗ "Об общих принципах организации публичной власти субъектов Российской Федерации"</t>
  </si>
  <si>
    <t>ст.44</t>
  </si>
  <si>
    <t>ст.44, п.86</t>
  </si>
  <si>
    <t>21.12.2021 - не установ</t>
  </si>
  <si>
    <t>Закон Красноярского края от 08.07.2021 №11-5410 "О наделении органов местного самоуправления муниципальных районов и городских округов края отдельными государственными полномочиями по осуществлению мониторинга состояния и развитие лесной промышленности"</t>
  </si>
  <si>
    <t>27.07.2021 - не установ</t>
  </si>
  <si>
    <t>ст.44, п.55</t>
  </si>
  <si>
    <t>ст.44, п.56</t>
  </si>
  <si>
    <t>ст.44, п.34</t>
  </si>
  <si>
    <t>ст.44, п.50</t>
  </si>
  <si>
    <t>ст.44, п.29</t>
  </si>
  <si>
    <t>ст.44, п.27</t>
  </si>
  <si>
    <t xml:space="preserve">ст.16, пункт 1, п/пункт 1
</t>
  </si>
  <si>
    <t>ст.44, п.104</t>
  </si>
  <si>
    <t>ст.44, п.143</t>
  </si>
  <si>
    <t>ст.16, пункт 1, п/пункт 1</t>
  </si>
  <si>
    <t>17.04.2024 - не установ.</t>
  </si>
  <si>
    <t>ст.44, п. 57</t>
  </si>
  <si>
    <t>ст.44, п.27,50</t>
  </si>
  <si>
    <t>Постановление администрации города Канска Красноярского края от 09.12.2019 г. №1185 "Об утверждении Административного регламента предоставления Финансовым управлением администрации города Канска муниципальной услуги по назначению, перерасчету и выплате муниципальной пенсии за выслугу лет гражданам, замещавшим должности муниципальной службы в г. Канске"</t>
  </si>
  <si>
    <t>Постановление администрации города Канска от 27.07.2017 г. № 656 "О внесении изменений в постановление администрации г. Канска от 20.03.2015 №397"</t>
  </si>
  <si>
    <t>Постановление администрации города Канска Красноярского края от 31.05.2019 № 492 "Об утверждении порядка расходования субсидии, предоставляемой бюджету города Канска на строительство жилья помещений, выплату возмещения собственникам жилых помещений за изымаемое жилое помещение для переселения граждан, проживающих в жилых домах муниципальных образований, признанных в установленном порядке аварийными и подлежащими сносу или реконструкции, а также на снос таких домов после расселения граждан"</t>
  </si>
  <si>
    <t>Постановление администрации города Канска Красноярского края от 31.01.2017 № 65 "Об утверждении Порядка предоставления субсидии из бюджета города юридическим лицам (за исключением государственных (муниципальных) учреждений), индивидуальным предпринимателям, физическим лицам на возмещение затрат, возникающих в результате оказания услуг населению по использованию общедоступных отделений бань по тарифам, не обеспечивающим возмещение издержек"</t>
  </si>
  <si>
    <t>Постановление администрации города Канска Красноярского края от 31.01.2017 г. № 66 "Об утверждении Порядка предоставления субсидии из бюджета города юридическим лицам (за исключением государственных (муниципальных) учреждений), индивидуальным предпринимателям, выполняющим перевозки пассажиров по маршрутам регулярных перевозок в соответствии с программой пассажирских перевозок , субсидируемых за счет средств муниципального образования город Канск"</t>
  </si>
  <si>
    <t>Решение Канского городского совета депутатов от 27.11.2017 г. №23-111 "О положении об управлении строительства и жилищно-коммунального хозяйства администрации города Канска"</t>
  </si>
  <si>
    <t>Постановление администрации города Канска от 24.10.2017 № 951 "Об утверждении Порядка предоставления и расходования средств субсидии из краевого бюджета на финансирование создания и обеспечения деятельности муниципального ресурсного центра поддержки общественных инициатив"</t>
  </si>
  <si>
    <t>Постановление администрации города Канска от 10.04.2017 № 315 "Об утверждении Положения о порядке определения объема и предоставления субсидий социально ориентированным некоммерческим организациям, не являющимся государственными (муниципальными) учреждения на реализацию социальных проектов на основании конкурсного отбора проектов."</t>
  </si>
  <si>
    <t>Решение Канского городского Совета депутатов Красноярского края от 16.11.2012 № 43-223 "О Положении об отделе физической культуры, спорта и молодежной политики администрации города Канска"</t>
  </si>
  <si>
    <t>Постановление администрации города Канска от 28.01.2022 № 56 "Об утверждении Порядка расходования средств субсидии на комплектования книжных фондов библиотек"</t>
  </si>
  <si>
    <t>01.01.2020- не установ</t>
  </si>
  <si>
    <t>Постановление администрации города Канска от 14.03.2017 №228 "Об утверждении Порядка расходования средств субсидии из краевого бюджета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и порядка предоставления отчетности об их использовании"</t>
  </si>
  <si>
    <t xml:space="preserve">Постановление администрации г. Канска Красноярского края от 03.09.2020 N 726
"Об утверждении Порядка расходования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 Красноярского края"
</t>
  </si>
  <si>
    <t xml:space="preserve">Постановление администрации г. Канска Красноярского края от 14.10.2020 N 929
"Об утверждении Порядка расходования иного межбюджетного трансферта на выплату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</si>
  <si>
    <t xml:space="preserve">Постановление администрации г. Канска Красноярского края от 09.10.2020 N 915
"Об утверждении Порядка организации бесплатных перевозок обучающихся в муниципальных образовательных организациях, реализующих основные общеобразовательные программы"
</t>
  </si>
  <si>
    <t xml:space="preserve">Постановление администрации г. Канска Красноярского края от 19.04.2019 N 333 (ред. от 05.08.2024)
"Об утверждении Порядка расходования субсидии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t>
  </si>
  <si>
    <t>13.01.2021 - 03.04.2024</t>
  </si>
  <si>
    <t xml:space="preserve">Решение Канского городского Совета депутатов Красноярского края от 15.12.2010 N 11-74 
"О Положении об Управлении образования администрации города Канска"
</t>
  </si>
  <si>
    <t xml:space="preserve">Постановление администрации г. Канска Красноярского края от 20.03.2015 N 397 
"Об установлении и взимании родительской платы за присмотр и уход за детьми в образовательных организациях города Канска, реализующих образовательную программу дошкольного образования, и обращении за получением компенсации родителями (законными представителями)"
</t>
  </si>
  <si>
    <t>Постановление администрации г. Канска Красноярского края от 18.01.2016 N 11 "Об утверждении Административного регламента предоставления Муниципальным казенным учреждением "Управление образования администрации города Канска" муниципальной услуги по предоставлению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учреждениях, расположенных на территории муниципального образования город Канск"</t>
  </si>
  <si>
    <t xml:space="preserve">Постановление администрации г. Канска Красноярского края от 26.05.2020 N 445 
"Об утверждении Порядка расходования иных межбюджетных трансфертов за содействие развитию налогового потенциала"
</t>
  </si>
  <si>
    <t>Соглашение о предоставлении субсидии из краевого бюджета бюджету города Канска Красноярского края на предоставление социальных выплат молодым семьям на приобретение (строительство) жилья от 19.01.2024 г. № 04720000-1-2024-002</t>
  </si>
  <si>
    <t>08.07.2024-31.12.2024</t>
  </si>
  <si>
    <t>Соглашение о предоставлении из краевого бюджета бюджету города Канска Красноярского края субсидии на приобретение извещателей дымовых автономных отдельным категориям граждан в целях оснащения ими жилых помещений" от 08.07.2024 №5АДПИ</t>
  </si>
  <si>
    <t>0702, 0709</t>
  </si>
  <si>
    <t>Решение Канского городского Совета депутатов от 28.02.2007 г. № 29-295 Реламент Канского городского Совета депутатов.</t>
  </si>
  <si>
    <t>14.03.2007 - не установ</t>
  </si>
  <si>
    <t>Реестр расходных обязательств города Канска на 2025 год и плановый период 2026-2028 годы</t>
  </si>
  <si>
    <t>0309,0310</t>
  </si>
  <si>
    <t>Отчетный период 2024 год</t>
  </si>
  <si>
    <t>Дополнительное соглашение к Соглашению о предоставлении субсидии из краевого бюджета бюджету города Канска Красноярского края на предоставление социальных выплат молодым семьям на приобретение (строительство) жилья от 19 января 2024 года № 04720000-1-2024-002</t>
  </si>
  <si>
    <t>20.01.2025- 31.12.2025</t>
  </si>
  <si>
    <t>19.01.2024- 31.12.2025</t>
  </si>
  <si>
    <t>№ 43-353 от 07.04.2025</t>
  </si>
  <si>
    <t>0412</t>
  </si>
  <si>
    <t>организация в соответствии с Федеральным законом от 24 июля 2007 г. № 221-ФЗ «О кадастровой деятельности» выполнения (участие в выполнении)  комплексных кадастровых работ и утверждение карты-плана территории;</t>
  </si>
  <si>
    <t>ст.16, пункт 1, п/пункт 43</t>
  </si>
  <si>
    <t>0701, 0702</t>
  </si>
  <si>
    <t>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</si>
  <si>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Постановление администрации г. Канска Красноярского края от 23.12.2022 N 1518 
"Об утверждении Порядка расходования иных межбюджетных трансфертов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t>
  </si>
  <si>
    <t>ч.3 ст.48</t>
  </si>
  <si>
    <t xml:space="preserve">Указом Губернатора Красноярского края от 25.10.2022 N 317-уг "О социально-экономических мерах поддержки лиц, принимающих участие в специальной военной операции, и членов их семей"
</t>
  </si>
  <si>
    <t>Постановление администрации города Канска от 11.04.2025 г. №469 "Об утверждении Порядка предоставления субсидий субъектам малого и среднего предпринимательства на реализацию проектов в приорететных отраслях"</t>
  </si>
  <si>
    <t xml:space="preserve">  - не установ</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</si>
</sst>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04"/>
      <scheme val="minor"/>
    </font>
    <font>
      <sz val="11"/>
      <color theme="1"/>
      <name val="Times New Roman"/>
      <family val="1"/>
      <charset val="204"/>
    </font>
    <font>
      <b/>
      <sz val="14"/>
      <color theme="1"/>
      <name val="Times New Roman"/>
      <family val="1"/>
      <charset val="204"/>
    </font>
    <font>
      <b/>
      <sz val="11"/>
      <color theme="1"/>
      <name val="Times New Roman"/>
      <family val="1"/>
      <charset val="204"/>
    </font>
    <font>
      <u/>
      <sz val="11"/>
      <color theme="10"/>
      <name val="Calibri"/>
      <family val="2"/>
      <charset val="204"/>
      <scheme val="minor"/>
    </font>
    <font>
      <u/>
      <sz val="11"/>
      <color theme="10"/>
      <name val="Times New Roman"/>
      <family val="1"/>
      <charset val="204"/>
    </font>
    <font>
      <sz val="11"/>
      <name val="Times New Roman"/>
      <family val="1"/>
      <charset val="204"/>
    </font>
    <font>
      <sz val="11"/>
      <color rgb="FFFF0000"/>
      <name val="Times New Roman"/>
      <family val="1"/>
      <charset val="204"/>
    </font>
    <font>
      <b/>
      <sz val="11"/>
      <color theme="1"/>
      <name val="Calibri"/>
      <family val="2"/>
      <charset val="204"/>
      <scheme val="minor"/>
    </font>
    <font>
      <sz val="9"/>
      <color indexed="81"/>
      <name val="Tahoma"/>
      <family val="2"/>
      <charset val="204"/>
    </font>
    <font>
      <b/>
      <sz val="9"/>
      <color indexed="81"/>
      <name val="Tahoma"/>
      <family val="2"/>
      <charset val="204"/>
    </font>
    <font>
      <i/>
      <sz val="11"/>
      <color theme="1"/>
      <name val="Times New Roman"/>
      <family val="1"/>
      <charset val="204"/>
    </font>
    <font>
      <b/>
      <sz val="11"/>
      <name val="Times New Roman"/>
      <family val="1"/>
      <charset val="204"/>
    </font>
    <font>
      <u/>
      <sz val="11"/>
      <name val="Times New Roman"/>
      <family val="1"/>
      <charset val="204"/>
    </font>
    <font>
      <sz val="11"/>
      <color theme="3" tint="-0.249977111117893"/>
      <name val="Times New Roman"/>
      <family val="1"/>
      <charset val="204"/>
    </font>
    <font>
      <sz val="11"/>
      <color rgb="FFFF0000"/>
      <name val="Calibri"/>
      <family val="2"/>
      <charset val="204"/>
      <scheme val="minor"/>
    </font>
    <font>
      <sz val="9"/>
      <color indexed="81"/>
      <name val="Tahoma"/>
      <charset val="1"/>
    </font>
    <font>
      <b/>
      <sz val="9"/>
      <color indexed="81"/>
      <name val="Tahoma"/>
      <charset val="1"/>
    </font>
  </fonts>
  <fills count="5">
    <fill>
      <patternFill patternType="none"/>
    </fill>
    <fill>
      <patternFill patternType="gray125"/>
    </fill>
    <fill>
      <patternFill patternType="solid">
        <fgColor theme="3" tint="0.79998168889431442"/>
        <bgColor indexed="64"/>
      </patternFill>
    </fill>
    <fill>
      <patternFill patternType="solid">
        <fgColor theme="8"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386">
    <xf numFmtId="0" fontId="0" fillId="0" borderId="0" xfId="0"/>
    <xf numFmtId="0" fontId="1"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vertical="top"/>
    </xf>
    <xf numFmtId="0" fontId="3" fillId="0" borderId="1" xfId="0" applyFont="1" applyBorder="1" applyAlignment="1">
      <alignment horizontal="center" vertical="center"/>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center" vertical="top" wrapText="1"/>
    </xf>
    <xf numFmtId="0" fontId="5" fillId="0" borderId="0" xfId="1" applyFont="1" applyAlignment="1">
      <alignment wrapText="1"/>
    </xf>
    <xf numFmtId="0" fontId="1" fillId="0" borderId="1" xfId="0" applyFont="1" applyBorder="1" applyAlignment="1">
      <alignment horizontal="center" vertical="center"/>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14" fontId="1" fillId="0" borderId="1" xfId="0" applyNumberFormat="1" applyFont="1" applyBorder="1" applyAlignment="1">
      <alignment horizontal="left" vertical="top" wrapText="1"/>
    </xf>
    <xf numFmtId="49" fontId="1" fillId="0" borderId="1" xfId="0" applyNumberFormat="1" applyFont="1" applyBorder="1" applyAlignment="1">
      <alignment horizontal="center" vertical="top" wrapText="1"/>
    </xf>
    <xf numFmtId="0" fontId="3" fillId="0" borderId="1" xfId="0" applyFont="1" applyBorder="1" applyAlignment="1">
      <alignment horizontal="left" vertical="top"/>
    </xf>
    <xf numFmtId="0" fontId="3" fillId="0" borderId="0" xfId="0" applyFont="1"/>
    <xf numFmtId="0" fontId="3" fillId="0" borderId="1" xfId="0" applyFont="1" applyBorder="1" applyAlignment="1">
      <alignment vertical="top" wrapText="1"/>
    </xf>
    <xf numFmtId="0" fontId="1" fillId="0" borderId="0" xfId="0" applyFont="1" applyAlignment="1">
      <alignment horizontal="center"/>
    </xf>
    <xf numFmtId="49" fontId="3" fillId="0" borderId="1" xfId="0" applyNumberFormat="1" applyFont="1" applyBorder="1" applyAlignment="1">
      <alignment horizontal="center" vertical="top" wrapText="1"/>
    </xf>
    <xf numFmtId="0" fontId="1" fillId="0" borderId="1" xfId="0" applyFont="1" applyFill="1" applyBorder="1" applyAlignment="1">
      <alignment horizontal="left" vertical="top" wrapText="1"/>
    </xf>
    <xf numFmtId="0" fontId="3" fillId="0" borderId="2" xfId="0" applyFont="1" applyBorder="1" applyAlignment="1">
      <alignment horizontal="left"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center" vertical="top" wrapText="1"/>
    </xf>
    <xf numFmtId="0" fontId="3" fillId="3" borderId="1" xfId="0" applyFont="1" applyFill="1" applyBorder="1" applyAlignment="1">
      <alignment horizontal="center" vertical="center"/>
    </xf>
    <xf numFmtId="0" fontId="1" fillId="0" borderId="0" xfId="0" applyFont="1" applyAlignment="1">
      <alignment horizontal="right"/>
    </xf>
    <xf numFmtId="4" fontId="1" fillId="0" borderId="0" xfId="0" applyNumberFormat="1" applyFont="1" applyAlignment="1">
      <alignment horizontal="right"/>
    </xf>
    <xf numFmtId="4" fontId="3" fillId="3" borderId="1" xfId="0" applyNumberFormat="1" applyFont="1" applyFill="1" applyBorder="1" applyAlignment="1">
      <alignment horizontal="center" vertical="center"/>
    </xf>
    <xf numFmtId="4" fontId="3" fillId="0" borderId="1" xfId="0" applyNumberFormat="1" applyFont="1" applyBorder="1" applyAlignment="1">
      <alignment horizontal="center" vertical="center"/>
    </xf>
    <xf numFmtId="0" fontId="1" fillId="0" borderId="2" xfId="0" applyFont="1" applyBorder="1" applyAlignment="1">
      <alignment horizontal="left" vertical="top" wrapText="1"/>
    </xf>
    <xf numFmtId="0" fontId="1" fillId="0" borderId="2" xfId="0" applyFont="1" applyFill="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top"/>
    </xf>
    <xf numFmtId="0" fontId="7" fillId="0" borderId="0" xfId="0" applyFont="1" applyAlignment="1">
      <alignment horizontal="left" vertical="top"/>
    </xf>
    <xf numFmtId="0" fontId="1" fillId="0" borderId="0" xfId="0" applyFont="1" applyAlignment="1">
      <alignment horizontal="left" vertical="top"/>
    </xf>
    <xf numFmtId="0" fontId="6" fillId="0" borderId="2" xfId="0" applyFont="1" applyBorder="1" applyAlignment="1">
      <alignment horizontal="left" vertical="top"/>
    </xf>
    <xf numFmtId="4" fontId="0" fillId="0" borderId="1" xfId="0" applyNumberFormat="1" applyBorder="1"/>
    <xf numFmtId="4" fontId="8" fillId="0" borderId="1" xfId="0" applyNumberFormat="1" applyFont="1" applyBorder="1"/>
    <xf numFmtId="4" fontId="0" fillId="0" borderId="0" xfId="0" applyNumberFormat="1"/>
    <xf numFmtId="0" fontId="3" fillId="0" borderId="1" xfId="0" applyFont="1" applyBorder="1"/>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6" fillId="0" borderId="1" xfId="0" applyFont="1" applyBorder="1" applyAlignment="1">
      <alignment horizontal="left" vertical="top"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horizontal="center" vertical="center"/>
    </xf>
    <xf numFmtId="0" fontId="3" fillId="0" borderId="2" xfId="0" applyFont="1" applyBorder="1" applyAlignment="1">
      <alignment vertical="top" wrapText="1"/>
    </xf>
    <xf numFmtId="49" fontId="3" fillId="0" borderId="2" xfId="0" applyNumberFormat="1" applyFont="1" applyBorder="1" applyAlignment="1">
      <alignment horizontal="center" vertical="top" wrapText="1"/>
    </xf>
    <xf numFmtId="0" fontId="1" fillId="0" borderId="8" xfId="0" applyFont="1" applyBorder="1" applyAlignment="1">
      <alignment horizontal="center" vertical="top"/>
    </xf>
    <xf numFmtId="0" fontId="1" fillId="0" borderId="7" xfId="0" applyFont="1" applyBorder="1" applyAlignment="1">
      <alignment horizontal="left" vertical="top" wrapText="1"/>
    </xf>
    <xf numFmtId="0" fontId="1" fillId="0" borderId="3" xfId="0" applyFont="1" applyFill="1" applyBorder="1" applyAlignment="1">
      <alignment horizontal="center" vertical="top" wrapText="1"/>
    </xf>
    <xf numFmtId="0" fontId="1" fillId="0" borderId="2" xfId="0" applyFont="1" applyBorder="1" applyAlignment="1">
      <alignment horizontal="left" vertical="top" wrapText="1"/>
    </xf>
    <xf numFmtId="0" fontId="3" fillId="0" borderId="1" xfId="0" applyFont="1" applyBorder="1" applyAlignment="1">
      <alignment horizontal="center" vertical="top"/>
    </xf>
    <xf numFmtId="0" fontId="3" fillId="0" borderId="2" xfId="0" applyFont="1" applyBorder="1" applyAlignment="1">
      <alignment horizontal="center"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0" fontId="1" fillId="0" borderId="10" xfId="0" applyFont="1" applyBorder="1" applyAlignment="1">
      <alignment horizontal="center" vertical="top"/>
    </xf>
    <xf numFmtId="0" fontId="1" fillId="0" borderId="10" xfId="0" applyFont="1" applyBorder="1" applyAlignment="1">
      <alignment horizontal="center" vertical="top" wrapText="1"/>
    </xf>
    <xf numFmtId="0" fontId="1" fillId="0" borderId="3" xfId="0" applyFont="1" applyBorder="1" applyAlignment="1">
      <alignment horizontal="left" vertical="top" wrapText="1"/>
    </xf>
    <xf numFmtId="0" fontId="1" fillId="0" borderId="3" xfId="0" applyFont="1" applyBorder="1" applyAlignment="1">
      <alignment vertical="top" wrapText="1"/>
    </xf>
    <xf numFmtId="49" fontId="1" fillId="0" borderId="2"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8" xfId="0" applyFont="1" applyBorder="1" applyAlignment="1">
      <alignment horizontal="center" vertical="top" wrapText="1"/>
    </xf>
    <xf numFmtId="0" fontId="1" fillId="0" borderId="11" xfId="0" applyFont="1" applyBorder="1" applyAlignment="1">
      <alignment horizontal="center" vertical="top" wrapText="1"/>
    </xf>
    <xf numFmtId="0" fontId="1" fillId="0" borderId="8" xfId="0" applyFont="1" applyBorder="1" applyAlignment="1">
      <alignment horizontal="left" vertical="top" wrapText="1"/>
    </xf>
    <xf numFmtId="0" fontId="1" fillId="0" borderId="11" xfId="0" applyFont="1" applyBorder="1" applyAlignment="1">
      <alignment horizontal="left" vertical="top"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4" fontId="3" fillId="0" borderId="2" xfId="0" applyNumberFormat="1" applyFont="1" applyFill="1" applyBorder="1" applyAlignment="1">
      <alignment horizontal="center" vertical="center"/>
    </xf>
    <xf numFmtId="0" fontId="3" fillId="0" borderId="0" xfId="0" applyFont="1" applyFill="1"/>
    <xf numFmtId="0" fontId="3" fillId="0" borderId="2" xfId="0" applyFont="1" applyFill="1" applyBorder="1" applyAlignment="1">
      <alignment horizontal="left" vertical="center" wrapText="1"/>
    </xf>
    <xf numFmtId="0" fontId="3" fillId="0" borderId="3" xfId="0" applyFont="1" applyBorder="1" applyAlignment="1">
      <alignment horizontal="center" vertical="top" wrapText="1"/>
    </xf>
    <xf numFmtId="49" fontId="3" fillId="0" borderId="3" xfId="0" applyNumberFormat="1" applyFont="1" applyBorder="1" applyAlignment="1">
      <alignment horizontal="center" vertical="top" wrapText="1"/>
    </xf>
    <xf numFmtId="0" fontId="3" fillId="0" borderId="3"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Fill="1" applyBorder="1" applyAlignment="1">
      <alignment horizontal="left" vertical="center" wrapText="1"/>
    </xf>
    <xf numFmtId="0" fontId="1" fillId="0" borderId="11" xfId="0" applyFont="1" applyBorder="1" applyAlignment="1">
      <alignment horizontal="left" vertical="top" wrapText="1"/>
    </xf>
    <xf numFmtId="0" fontId="1" fillId="0" borderId="8" xfId="0" applyFont="1" applyBorder="1" applyAlignment="1">
      <alignment horizontal="center" vertical="top" wrapText="1"/>
    </xf>
    <xf numFmtId="0" fontId="1" fillId="0" borderId="4" xfId="0" applyFont="1" applyFill="1" applyBorder="1" applyAlignment="1">
      <alignment horizontal="left" vertical="top" wrapText="1"/>
    </xf>
    <xf numFmtId="4" fontId="1" fillId="0" borderId="0" xfId="0" applyNumberFormat="1" applyFont="1"/>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1" fillId="0" borderId="2"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2" xfId="0" applyFont="1" applyBorder="1" applyAlignment="1">
      <alignment vertical="top" wrapText="1"/>
    </xf>
    <xf numFmtId="0" fontId="1" fillId="0" borderId="2" xfId="0" applyFont="1" applyBorder="1" applyAlignment="1">
      <alignment vertical="top"/>
    </xf>
    <xf numFmtId="0" fontId="7" fillId="0" borderId="0" xfId="0" applyFont="1" applyAlignment="1">
      <alignment horizontal="left"/>
    </xf>
    <xf numFmtId="0" fontId="1" fillId="0" borderId="3" xfId="0" applyFont="1" applyBorder="1" applyAlignment="1">
      <alignment horizontal="left"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12" xfId="0" applyFont="1" applyBorder="1" applyAlignment="1">
      <alignment horizontal="center" vertical="top" wrapText="1"/>
    </xf>
    <xf numFmtId="0" fontId="1" fillId="0" borderId="3" xfId="0" applyFont="1" applyBorder="1" applyAlignment="1">
      <alignment horizontal="left" vertical="top"/>
    </xf>
    <xf numFmtId="0" fontId="1" fillId="0" borderId="2" xfId="0" applyFont="1" applyBorder="1" applyAlignment="1">
      <alignment horizontal="left" vertical="top" wrapText="1"/>
    </xf>
    <xf numFmtId="0" fontId="1" fillId="0" borderId="2" xfId="0" applyFont="1" applyBorder="1" applyAlignment="1">
      <alignment horizontal="center" vertical="top" wrapText="1"/>
    </xf>
    <xf numFmtId="0" fontId="6" fillId="0" borderId="0" xfId="0" applyFont="1"/>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7"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center" vertical="top" wrapText="1"/>
    </xf>
    <xf numFmtId="49" fontId="1" fillId="0" borderId="2" xfId="0" applyNumberFormat="1" applyFont="1" applyBorder="1" applyAlignment="1">
      <alignment horizontal="center" vertical="top" wrapText="1"/>
    </xf>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4" borderId="1" xfId="0" applyFont="1" applyFill="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1" fillId="0" borderId="1" xfId="0" applyFont="1" applyBorder="1" applyAlignment="1">
      <alignment horizontal="left" vertical="top" wrapText="1"/>
    </xf>
    <xf numFmtId="0" fontId="1" fillId="0" borderId="10" xfId="0" applyFont="1" applyBorder="1" applyAlignment="1">
      <alignment horizontal="left" vertical="top" wrapText="1"/>
    </xf>
    <xf numFmtId="14" fontId="6" fillId="0" borderId="1" xfId="0" applyNumberFormat="1" applyFont="1" applyBorder="1" applyAlignment="1">
      <alignment horizontal="left" vertical="top" wrapText="1"/>
    </xf>
    <xf numFmtId="0" fontId="6" fillId="0" borderId="5" xfId="0" applyFont="1" applyBorder="1" applyAlignment="1">
      <alignment horizontal="left" vertical="top" wrapText="1"/>
    </xf>
    <xf numFmtId="0" fontId="1" fillId="0" borderId="2" xfId="0" applyFont="1" applyBorder="1" applyAlignment="1">
      <alignment horizontal="left" vertical="top" wrapText="1"/>
    </xf>
    <xf numFmtId="0" fontId="6" fillId="4" borderId="1" xfId="0" applyFont="1" applyFill="1" applyBorder="1" applyAlignment="1">
      <alignment horizontal="left" vertical="top" wrapText="1"/>
    </xf>
    <xf numFmtId="0" fontId="3" fillId="0" borderId="4" xfId="0" applyFont="1" applyFill="1" applyBorder="1" applyAlignment="1">
      <alignment horizontal="center" vertical="top" wrapText="1"/>
    </xf>
    <xf numFmtId="0" fontId="3" fillId="0" borderId="4" xfId="0" applyFont="1" applyBorder="1" applyAlignment="1">
      <alignment horizontal="left" vertical="top" wrapText="1"/>
    </xf>
    <xf numFmtId="0" fontId="3" fillId="0" borderId="4" xfId="0" applyFont="1" applyBorder="1" applyAlignment="1">
      <alignment horizontal="center" vertical="top" wrapText="1"/>
    </xf>
    <xf numFmtId="49" fontId="3" fillId="0" borderId="4" xfId="0" applyNumberFormat="1" applyFont="1" applyBorder="1" applyAlignment="1">
      <alignment horizontal="center" vertical="top" wrapText="1"/>
    </xf>
    <xf numFmtId="0" fontId="1" fillId="0" borderId="14" xfId="0" applyFont="1" applyBorder="1" applyAlignment="1">
      <alignment horizontal="center"/>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center" vertical="top"/>
    </xf>
    <xf numFmtId="0" fontId="3" fillId="0" borderId="1" xfId="0" applyFont="1" applyBorder="1" applyAlignment="1">
      <alignment horizontal="left" vertical="top" wrapText="1"/>
    </xf>
    <xf numFmtId="0" fontId="1" fillId="0" borderId="2" xfId="0" applyFont="1" applyBorder="1" applyAlignment="1">
      <alignment horizontal="center" vertical="top" wrapText="1"/>
    </xf>
    <xf numFmtId="4" fontId="8" fillId="0" borderId="0" xfId="0" applyNumberFormat="1" applyFont="1"/>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4" xfId="0" applyFont="1" applyBorder="1" applyAlignment="1">
      <alignment horizontal="center" vertical="top" wrapText="1"/>
    </xf>
    <xf numFmtId="4" fontId="1" fillId="0" borderId="4"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0" borderId="4" xfId="0" applyFont="1" applyBorder="1" applyAlignment="1">
      <alignment horizontal="left" vertical="top" wrapText="1"/>
    </xf>
    <xf numFmtId="0" fontId="1" fillId="0" borderId="4" xfId="0" applyFont="1" applyFill="1" applyBorder="1" applyAlignment="1">
      <alignment horizontal="center" vertical="top" wrapText="1"/>
    </xf>
    <xf numFmtId="4" fontId="3" fillId="3" borderId="1" xfId="0" applyNumberFormat="1" applyFont="1" applyFill="1" applyBorder="1" applyAlignment="1">
      <alignment horizontal="center" vertical="center" wrapText="1"/>
    </xf>
    <xf numFmtId="4" fontId="3" fillId="0" borderId="3"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1" fillId="0" borderId="1" xfId="0" applyNumberFormat="1" applyFont="1" applyBorder="1" applyAlignment="1">
      <alignment horizontal="center" vertical="center"/>
    </xf>
    <xf numFmtId="4" fontId="1" fillId="0" borderId="18" xfId="0" applyNumberFormat="1" applyFont="1" applyBorder="1" applyAlignment="1">
      <alignment horizontal="center" vertical="center"/>
    </xf>
    <xf numFmtId="4" fontId="0" fillId="0" borderId="0" xfId="0" applyNumberFormat="1" applyAlignment="1"/>
    <xf numFmtId="0" fontId="7" fillId="0" borderId="0" xfId="0" applyFont="1"/>
    <xf numFmtId="4" fontId="1" fillId="0" borderId="4" xfId="0" applyNumberFormat="1" applyFont="1" applyBorder="1" applyAlignment="1">
      <alignment horizontal="center" vertical="center"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4" fontId="1" fillId="0" borderId="4"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12" fillId="3"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top" wrapText="1"/>
    </xf>
    <xf numFmtId="0" fontId="12" fillId="3" borderId="1" xfId="0" applyFont="1" applyFill="1" applyBorder="1" applyAlignment="1">
      <alignment horizontal="left" vertical="top" wrapText="1"/>
    </xf>
    <xf numFmtId="0" fontId="6" fillId="0" borderId="1" xfId="0" applyFont="1" applyBorder="1" applyAlignment="1">
      <alignment wrapText="1"/>
    </xf>
    <xf numFmtId="0" fontId="13" fillId="0" borderId="0" xfId="1" applyFont="1" applyAlignment="1">
      <alignment vertical="top" wrapText="1"/>
    </xf>
    <xf numFmtId="0" fontId="12" fillId="2"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6" fillId="0" borderId="2" xfId="0" applyFont="1" applyBorder="1" applyAlignment="1">
      <alignment vertical="top" wrapText="1"/>
    </xf>
    <xf numFmtId="0" fontId="6" fillId="0" borderId="1" xfId="0" applyFont="1" applyBorder="1" applyAlignment="1">
      <alignment vertical="top" wrapText="1"/>
    </xf>
    <xf numFmtId="0" fontId="6" fillId="0" borderId="7" xfId="0" applyFont="1" applyBorder="1" applyAlignment="1">
      <alignment horizontal="left" vertical="top" wrapText="1"/>
    </xf>
    <xf numFmtId="0" fontId="1" fillId="0" borderId="3" xfId="0" applyFont="1" applyBorder="1" applyAlignment="1">
      <alignment horizontal="left" vertical="top" wrapText="1"/>
    </xf>
    <xf numFmtId="0" fontId="1" fillId="0" borderId="12" xfId="0" applyFont="1" applyBorder="1" applyAlignment="1">
      <alignment horizontal="center" vertical="top" wrapText="1"/>
    </xf>
    <xf numFmtId="0" fontId="1" fillId="0" borderId="19" xfId="0" applyFont="1" applyBorder="1" applyAlignment="1">
      <alignment horizontal="center"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0" fontId="1" fillId="0" borderId="9" xfId="0" applyFont="1" applyBorder="1" applyAlignment="1">
      <alignment horizontal="center" vertical="top" wrapText="1"/>
    </xf>
    <xf numFmtId="0" fontId="1" fillId="0" borderId="9" xfId="0" applyFont="1" applyBorder="1" applyAlignment="1">
      <alignment horizontal="left" vertical="top" wrapText="1"/>
    </xf>
    <xf numFmtId="0" fontId="1" fillId="0" borderId="3" xfId="0" applyFont="1" applyBorder="1" applyAlignment="1">
      <alignment horizontal="left" vertical="top" wrapText="1"/>
    </xf>
    <xf numFmtId="4" fontId="1" fillId="0" borderId="4" xfId="0" applyNumberFormat="1" applyFont="1" applyBorder="1" applyAlignment="1">
      <alignment horizontal="center" vertical="center" wrapText="1"/>
    </xf>
    <xf numFmtId="0" fontId="1" fillId="0" borderId="4" xfId="0" applyFont="1" applyBorder="1" applyAlignment="1">
      <alignment horizontal="center" vertical="top" wrapText="1"/>
    </xf>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19" xfId="0" applyFont="1" applyBorder="1" applyAlignment="1">
      <alignment horizontal="left" vertical="top" wrapText="1"/>
    </xf>
    <xf numFmtId="0" fontId="1" fillId="0" borderId="1" xfId="0" applyFont="1" applyBorder="1" applyAlignment="1">
      <alignment wrapText="1"/>
    </xf>
    <xf numFmtId="4" fontId="1" fillId="0" borderId="4" xfId="0" applyNumberFormat="1" applyFont="1" applyBorder="1" applyAlignment="1">
      <alignment horizontal="center" vertical="center" wrapText="1"/>
    </xf>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4" fontId="1" fillId="0" borderId="2"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2" xfId="0" applyFont="1" applyBorder="1" applyAlignment="1">
      <alignment vertical="top" wrapText="1"/>
    </xf>
    <xf numFmtId="0" fontId="6" fillId="0" borderId="19" xfId="0" applyFont="1" applyBorder="1" applyAlignment="1">
      <alignment horizontal="center" vertical="top"/>
    </xf>
    <xf numFmtId="0" fontId="1" fillId="0" borderId="19" xfId="0" applyFont="1" applyBorder="1" applyAlignment="1">
      <alignment horizontal="center" vertical="top"/>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 fillId="0" borderId="4" xfId="0" applyFont="1" applyBorder="1" applyAlignment="1">
      <alignment horizontal="center" vertical="top" wrapText="1"/>
    </xf>
    <xf numFmtId="0" fontId="1" fillId="0" borderId="4" xfId="0" applyFont="1" applyFill="1" applyBorder="1" applyAlignment="1">
      <alignment horizontal="center" vertical="top" wrapText="1"/>
    </xf>
    <xf numFmtId="4" fontId="1" fillId="0" borderId="4" xfId="0" applyNumberFormat="1" applyFont="1" applyBorder="1" applyAlignment="1">
      <alignment horizontal="center" vertical="center"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4" fontId="1" fillId="0" borderId="2"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7" fillId="0" borderId="1" xfId="0" applyFont="1" applyBorder="1" applyAlignment="1">
      <alignment horizontal="left" vertical="top"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4"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top"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4" xfId="0" applyFont="1" applyBorder="1" applyAlignment="1">
      <alignment horizontal="center" vertical="top" wrapText="1"/>
    </xf>
    <xf numFmtId="0" fontId="1" fillId="0" borderId="4" xfId="0" applyFont="1" applyFill="1" applyBorder="1" applyAlignment="1">
      <alignment horizontal="center" vertical="top" wrapText="1"/>
    </xf>
    <xf numFmtId="4" fontId="1" fillId="0" borderId="3" xfId="0" applyNumberFormat="1" applyFont="1" applyBorder="1" applyAlignment="1">
      <alignment horizontal="center" vertical="center" wrapText="1"/>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left" vertical="top" wrapText="1"/>
    </xf>
    <xf numFmtId="4" fontId="1" fillId="0" borderId="2" xfId="0" applyNumberFormat="1" applyFont="1" applyBorder="1" applyAlignment="1">
      <alignment horizontal="center" vertical="center" wrapText="1"/>
    </xf>
    <xf numFmtId="0" fontId="6" fillId="0" borderId="5" xfId="0" applyFont="1" applyFill="1" applyBorder="1" applyAlignment="1">
      <alignment horizontal="left" vertical="top" wrapText="1"/>
    </xf>
    <xf numFmtId="0" fontId="6" fillId="0" borderId="0" xfId="0" applyFont="1" applyAlignment="1">
      <alignment wrapText="1"/>
    </xf>
    <xf numFmtId="0" fontId="6" fillId="0" borderId="3" xfId="0" applyFont="1" applyBorder="1" applyAlignment="1">
      <alignment horizontal="left" vertical="top" wrapText="1"/>
    </xf>
    <xf numFmtId="0" fontId="1" fillId="0" borderId="2" xfId="0" applyFont="1" applyBorder="1" applyAlignment="1">
      <alignment horizontal="center" vertical="top" wrapText="1"/>
    </xf>
    <xf numFmtId="49" fontId="1" fillId="0" borderId="2" xfId="0" applyNumberFormat="1"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2" xfId="0" applyFont="1" applyBorder="1" applyAlignment="1">
      <alignment horizontal="left" vertical="top" wrapText="1"/>
    </xf>
    <xf numFmtId="4" fontId="1" fillId="0" borderId="3"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12" xfId="0" applyFont="1" applyBorder="1" applyAlignment="1">
      <alignment horizontal="center" vertical="top" wrapText="1"/>
    </xf>
    <xf numFmtId="0" fontId="14" fillId="0" borderId="1" xfId="0" applyFont="1" applyBorder="1" applyAlignment="1">
      <alignment horizontal="left" vertical="top" wrapText="1"/>
    </xf>
    <xf numFmtId="0" fontId="14" fillId="4" borderId="1" xfId="0" applyFont="1" applyFill="1" applyBorder="1" applyAlignment="1">
      <alignment horizontal="left" vertical="top" wrapText="1"/>
    </xf>
    <xf numFmtId="14" fontId="14" fillId="4" borderId="1" xfId="0" applyNumberFormat="1" applyFont="1" applyFill="1" applyBorder="1" applyAlignment="1">
      <alignment horizontal="left" vertical="top" wrapText="1"/>
    </xf>
    <xf numFmtId="4" fontId="1" fillId="0" borderId="2"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5" fillId="0" borderId="0" xfId="0" applyNumberFormat="1" applyFont="1"/>
    <xf numFmtId="49" fontId="1" fillId="0" borderId="2" xfId="0" applyNumberFormat="1" applyFont="1" applyBorder="1" applyAlignment="1">
      <alignment horizontal="center" vertical="top" wrapText="1"/>
    </xf>
    <xf numFmtId="0" fontId="1" fillId="0" borderId="2" xfId="0" applyFont="1" applyBorder="1" applyAlignment="1">
      <alignment horizontal="center" vertical="top" wrapText="1"/>
    </xf>
    <xf numFmtId="4" fontId="1" fillId="0" borderId="3" xfId="0" applyNumberFormat="1" applyFont="1" applyFill="1" applyBorder="1" applyAlignment="1">
      <alignment horizontal="center" vertical="center" wrapText="1"/>
    </xf>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3" xfId="0" applyFont="1" applyBorder="1" applyAlignment="1">
      <alignment horizontal="left" vertical="top" wrapText="1"/>
    </xf>
    <xf numFmtId="4" fontId="1" fillId="0" borderId="4" xfId="0" applyNumberFormat="1" applyFont="1" applyBorder="1" applyAlignment="1">
      <alignment horizontal="center" vertical="center" wrapText="1"/>
    </xf>
    <xf numFmtId="4" fontId="1" fillId="0" borderId="4" xfId="0" applyNumberFormat="1" applyFont="1" applyFill="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0" fontId="1" fillId="0" borderId="3" xfId="0" applyFont="1" applyFill="1" applyBorder="1" applyAlignment="1">
      <alignment horizontal="left" vertical="top" wrapText="1"/>
    </xf>
    <xf numFmtId="4" fontId="1" fillId="0" borderId="1" xfId="0" applyNumberFormat="1" applyFont="1" applyFill="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4" fontId="1" fillId="0" borderId="2" xfId="0" applyNumberFormat="1" applyFont="1" applyBorder="1" applyAlignment="1">
      <alignment horizontal="center" vertical="top" wrapText="1"/>
    </xf>
    <xf numFmtId="4" fontId="1" fillId="0" borderId="3" xfId="0" applyNumberFormat="1" applyFont="1" applyBorder="1" applyAlignment="1">
      <alignment horizontal="center" vertical="top" wrapText="1"/>
    </xf>
    <xf numFmtId="4" fontId="6" fillId="0" borderId="2"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 fontId="1" fillId="0" borderId="2" xfId="0" applyNumberFormat="1" applyFont="1" applyBorder="1" applyAlignment="1">
      <alignment horizontal="center" vertical="center"/>
    </xf>
    <xf numFmtId="4" fontId="1" fillId="0" borderId="3" xfId="0" applyNumberFormat="1" applyFont="1" applyBorder="1" applyAlignment="1">
      <alignment horizontal="center" vertical="center"/>
    </xf>
    <xf numFmtId="4" fontId="1" fillId="0" borderId="2" xfId="0" applyNumberFormat="1" applyFont="1" applyFill="1" applyBorder="1" applyAlignment="1">
      <alignment horizontal="center" vertical="center"/>
    </xf>
    <xf numFmtId="4" fontId="1" fillId="0" borderId="3" xfId="0" applyNumberFormat="1" applyFont="1" applyFill="1" applyBorder="1" applyAlignment="1">
      <alignment horizontal="center" vertical="center"/>
    </xf>
    <xf numFmtId="4" fontId="1" fillId="0" borderId="4" xfId="0" applyNumberFormat="1" applyFont="1" applyBorder="1" applyAlignment="1">
      <alignment horizontal="center" vertical="center"/>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49" fontId="1" fillId="0" borderId="2" xfId="0" applyNumberFormat="1"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4" fontId="1" fillId="0" borderId="4" xfId="0" applyNumberFormat="1" applyFont="1" applyFill="1" applyBorder="1" applyAlignment="1">
      <alignment horizontal="center"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4" fontId="6" fillId="0" borderId="4" xfId="0" applyNumberFormat="1" applyFont="1" applyFill="1" applyBorder="1" applyAlignment="1">
      <alignment horizontal="center" vertical="center"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49" fontId="1" fillId="0" borderId="2"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top" wrapText="1"/>
    </xf>
    <xf numFmtId="0" fontId="6" fillId="0" borderId="2" xfId="0" applyFont="1" applyBorder="1" applyAlignment="1">
      <alignment horizontal="center" vertical="top"/>
    </xf>
    <xf numFmtId="0" fontId="6" fillId="0" borderId="4" xfId="0" applyFont="1" applyBorder="1" applyAlignment="1">
      <alignment horizontal="center" vertical="top"/>
    </xf>
    <xf numFmtId="0" fontId="1" fillId="0" borderId="2" xfId="0" applyFont="1" applyBorder="1" applyAlignment="1">
      <alignment horizontal="center" vertical="top"/>
    </xf>
    <xf numFmtId="0" fontId="1" fillId="0" borderId="4" xfId="0" applyFont="1" applyBorder="1" applyAlignment="1">
      <alignment horizontal="center" vertical="top"/>
    </xf>
    <xf numFmtId="0" fontId="5" fillId="0" borderId="2" xfId="1" applyFont="1" applyBorder="1" applyAlignment="1">
      <alignment horizontal="center" wrapText="1"/>
    </xf>
    <xf numFmtId="0" fontId="5" fillId="0" borderId="3" xfId="1" applyFont="1" applyBorder="1" applyAlignment="1">
      <alignment horizont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center"/>
    </xf>
    <xf numFmtId="0" fontId="6"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0" applyFont="1" applyBorder="1" applyAlignment="1">
      <alignment horizontal="center"/>
    </xf>
    <xf numFmtId="0" fontId="0" fillId="0" borderId="1" xfId="0" applyBorder="1" applyAlignment="1">
      <alignment horizontal="center" wrapText="1"/>
    </xf>
    <xf numFmtId="0" fontId="1" fillId="0" borderId="9" xfId="0" applyFont="1" applyBorder="1" applyAlignment="1">
      <alignment horizontal="center" vertical="top" wrapText="1"/>
    </xf>
    <xf numFmtId="0" fontId="1" fillId="0" borderId="12" xfId="0" applyFont="1" applyBorder="1" applyAlignment="1">
      <alignment horizontal="center" vertical="top" wrapText="1"/>
    </xf>
    <xf numFmtId="0" fontId="1" fillId="0" borderId="3" xfId="0" applyFont="1" applyBorder="1" applyAlignment="1">
      <alignment horizontal="center" vertical="top"/>
    </xf>
    <xf numFmtId="0" fontId="1" fillId="0" borderId="2" xfId="0" applyFont="1" applyBorder="1" applyAlignment="1">
      <alignment horizontal="left" vertical="top"/>
    </xf>
    <xf numFmtId="0" fontId="1" fillId="0" borderId="3" xfId="0" applyFont="1" applyBorder="1" applyAlignment="1">
      <alignment horizontal="left" vertical="top"/>
    </xf>
    <xf numFmtId="0" fontId="0" fillId="0" borderId="3" xfId="0" applyBorder="1" applyAlignment="1">
      <alignment horizontal="left" vertical="top" wrapText="1"/>
    </xf>
    <xf numFmtId="0" fontId="1" fillId="0" borderId="0" xfId="0" applyFont="1" applyAlignment="1">
      <alignment horizontal="left"/>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6" fillId="0" borderId="13" xfId="0" applyFont="1" applyBorder="1" applyAlignment="1">
      <alignment horizontal="left"/>
    </xf>
    <xf numFmtId="49" fontId="1" fillId="0" borderId="10" xfId="0" applyNumberFormat="1" applyFont="1" applyBorder="1" applyAlignment="1">
      <alignment horizontal="center" vertical="top" wrapText="1"/>
    </xf>
    <xf numFmtId="0" fontId="1" fillId="0" borderId="0" xfId="0" applyFont="1" applyBorder="1" applyAlignment="1">
      <alignment horizontal="left" vertical="top" wrapText="1"/>
    </xf>
    <xf numFmtId="0" fontId="1" fillId="0" borderId="13" xfId="0" applyFont="1" applyBorder="1" applyAlignment="1">
      <alignment horizontal="left" vertical="top" wrapText="1"/>
    </xf>
    <xf numFmtId="14" fontId="1" fillId="0" borderId="2" xfId="0" applyNumberFormat="1" applyFont="1" applyBorder="1" applyAlignment="1">
      <alignment horizontal="left" vertical="top" wrapText="1"/>
    </xf>
    <xf numFmtId="14" fontId="1" fillId="0" borderId="4" xfId="0" applyNumberFormat="1" applyFont="1" applyBorder="1" applyAlignment="1">
      <alignment horizontal="left" vertical="top" wrapText="1"/>
    </xf>
    <xf numFmtId="14" fontId="1" fillId="0" borderId="2" xfId="0" applyNumberFormat="1" applyFont="1" applyBorder="1" applyAlignment="1">
      <alignment horizontal="center" vertical="top" wrapText="1"/>
    </xf>
    <xf numFmtId="14" fontId="1" fillId="0" borderId="4" xfId="0" applyNumberFormat="1" applyFont="1" applyBorder="1" applyAlignment="1">
      <alignment horizontal="center" vertical="top" wrapText="1"/>
    </xf>
    <xf numFmtId="0" fontId="3" fillId="0" borderId="15"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 xfId="0" applyFont="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1" fillId="0" borderId="5" xfId="0" applyFont="1" applyFill="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consultantplus://offline/ref=3D0D1FA37BFC4FD4827B32A30E9945BF67DC73B15484D8628C3ABC299E17C3F496000D574D34C6CC6399B441G5dBH"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32"/>
  <sheetViews>
    <sheetView tabSelected="1" zoomScaleNormal="100" workbookViewId="0">
      <pane xSplit="2" ySplit="8" topLeftCell="C9" activePane="bottomRight" state="frozen"/>
      <selection pane="topRight" activeCell="C1" sqref="C1"/>
      <selection pane="bottomLeft" activeCell="A9" sqref="A9"/>
      <selection pane="bottomRight" activeCell="L18" sqref="L18"/>
    </sheetView>
  </sheetViews>
  <sheetFormatPr defaultRowHeight="15" x14ac:dyDescent="0.25"/>
  <cols>
    <col min="1" max="1" width="9.140625" style="21" customWidth="1"/>
    <col min="2" max="2" width="48.7109375" style="1" customWidth="1"/>
    <col min="3" max="3" width="10.42578125" style="1" customWidth="1"/>
    <col min="4" max="4" width="10.28515625" style="21" customWidth="1"/>
    <col min="5" max="5" width="24.7109375" style="1" customWidth="1"/>
    <col min="6" max="6" width="14.42578125" style="1" customWidth="1"/>
    <col min="7" max="7" width="11.42578125" style="1" customWidth="1"/>
    <col min="8" max="8" width="25" style="1" customWidth="1"/>
    <col min="9" max="9" width="11.42578125" style="1" customWidth="1"/>
    <col min="10" max="10" width="12" style="1" customWidth="1"/>
    <col min="11" max="11" width="36" style="112" customWidth="1"/>
    <col min="12" max="12" width="9.42578125" style="1" customWidth="1"/>
    <col min="13" max="13" width="11" style="1" customWidth="1"/>
    <col min="14" max="14" width="16.85546875" style="1" customWidth="1"/>
    <col min="15" max="15" width="17.85546875" style="1" customWidth="1"/>
    <col min="16" max="16" width="18.42578125" style="1" customWidth="1"/>
    <col min="17" max="17" width="18.7109375" style="1" customWidth="1"/>
    <col min="18" max="18" width="17.42578125" style="1" customWidth="1"/>
    <col min="19" max="19" width="16.7109375" style="1" customWidth="1"/>
    <col min="20" max="16384" width="9.140625" style="1"/>
  </cols>
  <sheetData>
    <row r="1" spans="1:19" x14ac:dyDescent="0.25">
      <c r="A1" s="112"/>
      <c r="B1" s="101"/>
    </row>
    <row r="2" spans="1:19" ht="18.75" x14ac:dyDescent="0.3">
      <c r="C2" s="352" t="s">
        <v>590</v>
      </c>
      <c r="D2" s="352"/>
      <c r="E2" s="352"/>
      <c r="F2" s="352"/>
      <c r="G2" s="352"/>
      <c r="H2" s="352"/>
      <c r="I2" s="352"/>
      <c r="J2" s="352"/>
      <c r="K2" s="352"/>
      <c r="L2" s="352"/>
      <c r="M2" s="352"/>
      <c r="N2" s="352"/>
      <c r="O2" s="352"/>
      <c r="P2" s="352"/>
    </row>
    <row r="3" spans="1:19" x14ac:dyDescent="0.25">
      <c r="A3" s="363" t="s">
        <v>592</v>
      </c>
      <c r="B3" s="363"/>
      <c r="I3" s="19"/>
    </row>
    <row r="4" spans="1:19" x14ac:dyDescent="0.25">
      <c r="A4" s="368" t="s">
        <v>596</v>
      </c>
      <c r="B4" s="368"/>
      <c r="S4" s="34" t="s">
        <v>17</v>
      </c>
    </row>
    <row r="5" spans="1:19" x14ac:dyDescent="0.25">
      <c r="A5" s="364" t="s">
        <v>0</v>
      </c>
      <c r="B5" s="350" t="s">
        <v>1</v>
      </c>
      <c r="C5" s="354" t="s">
        <v>2</v>
      </c>
      <c r="D5" s="354"/>
      <c r="E5" s="354" t="s">
        <v>5</v>
      </c>
      <c r="F5" s="354"/>
      <c r="G5" s="354"/>
      <c r="H5" s="354" t="s">
        <v>9</v>
      </c>
      <c r="I5" s="356"/>
      <c r="J5" s="356"/>
      <c r="K5" s="354" t="s">
        <v>10</v>
      </c>
      <c r="L5" s="356"/>
      <c r="M5" s="356"/>
      <c r="N5" s="355" t="s">
        <v>16</v>
      </c>
      <c r="O5" s="355"/>
      <c r="P5" s="355"/>
      <c r="Q5" s="355"/>
      <c r="R5" s="355"/>
      <c r="S5" s="355"/>
    </row>
    <row r="6" spans="1:19" ht="45" x14ac:dyDescent="0.25">
      <c r="A6" s="365"/>
      <c r="B6" s="350"/>
      <c r="C6" s="367" t="s">
        <v>3</v>
      </c>
      <c r="D6" s="367" t="s">
        <v>4</v>
      </c>
      <c r="E6" s="350" t="s">
        <v>6</v>
      </c>
      <c r="F6" s="350" t="s">
        <v>7</v>
      </c>
      <c r="G6" s="350" t="s">
        <v>8</v>
      </c>
      <c r="H6" s="350" t="s">
        <v>6</v>
      </c>
      <c r="I6" s="350" t="s">
        <v>7</v>
      </c>
      <c r="J6" s="350" t="s">
        <v>8</v>
      </c>
      <c r="K6" s="353" t="s">
        <v>6</v>
      </c>
      <c r="L6" s="350" t="s">
        <v>7</v>
      </c>
      <c r="M6" s="350" t="s">
        <v>8</v>
      </c>
      <c r="N6" s="350" t="s">
        <v>13</v>
      </c>
      <c r="O6" s="350"/>
      <c r="P6" s="2" t="s">
        <v>14</v>
      </c>
      <c r="Q6" s="350" t="s">
        <v>15</v>
      </c>
      <c r="R6" s="351"/>
      <c r="S6" s="351"/>
    </row>
    <row r="7" spans="1:19" x14ac:dyDescent="0.25">
      <c r="A7" s="366"/>
      <c r="B7" s="350"/>
      <c r="C7" s="367"/>
      <c r="D7" s="367"/>
      <c r="E7" s="350"/>
      <c r="F7" s="350"/>
      <c r="G7" s="350"/>
      <c r="H7" s="350"/>
      <c r="I7" s="350"/>
      <c r="J7" s="350"/>
      <c r="K7" s="353"/>
      <c r="L7" s="350"/>
      <c r="M7" s="350"/>
      <c r="N7" s="5" t="s">
        <v>11</v>
      </c>
      <c r="O7" s="5" t="s">
        <v>12</v>
      </c>
      <c r="P7" s="5" t="s">
        <v>11</v>
      </c>
      <c r="Q7" s="5" t="s">
        <v>11</v>
      </c>
      <c r="R7" s="5" t="s">
        <v>11</v>
      </c>
      <c r="S7" s="5" t="s">
        <v>11</v>
      </c>
    </row>
    <row r="8" spans="1:19" x14ac:dyDescent="0.25">
      <c r="A8" s="57">
        <v>1</v>
      </c>
      <c r="B8" s="3">
        <v>2</v>
      </c>
      <c r="C8" s="3">
        <v>3</v>
      </c>
      <c r="D8" s="13">
        <v>4</v>
      </c>
      <c r="E8" s="3">
        <v>5</v>
      </c>
      <c r="F8" s="3">
        <v>6</v>
      </c>
      <c r="G8" s="3">
        <v>7</v>
      </c>
      <c r="H8" s="3">
        <v>8</v>
      </c>
      <c r="I8" s="3">
        <v>9</v>
      </c>
      <c r="J8" s="3">
        <v>10</v>
      </c>
      <c r="K8" s="192">
        <v>11</v>
      </c>
      <c r="L8" s="3">
        <v>12</v>
      </c>
      <c r="M8" s="3">
        <v>13</v>
      </c>
      <c r="N8" s="3">
        <v>14</v>
      </c>
      <c r="O8" s="3">
        <v>15</v>
      </c>
      <c r="P8" s="3">
        <v>16</v>
      </c>
      <c r="Q8" s="3">
        <v>17</v>
      </c>
      <c r="R8" s="3">
        <v>18</v>
      </c>
      <c r="S8" s="3">
        <v>19</v>
      </c>
    </row>
    <row r="9" spans="1:19" s="19" customFormat="1" ht="14.25" x14ac:dyDescent="0.2">
      <c r="A9" s="33"/>
      <c r="B9" s="33" t="s">
        <v>18</v>
      </c>
      <c r="C9" s="33">
        <v>901</v>
      </c>
      <c r="D9" s="33"/>
      <c r="E9" s="33"/>
      <c r="F9" s="33"/>
      <c r="G9" s="33"/>
      <c r="H9" s="33"/>
      <c r="I9" s="33"/>
      <c r="J9" s="33"/>
      <c r="K9" s="193"/>
      <c r="L9" s="33"/>
      <c r="M9" s="33"/>
      <c r="N9" s="36">
        <f t="shared" ref="N9:S9" si="0">N10+N26+N36+N34</f>
        <v>145071892.09</v>
      </c>
      <c r="O9" s="36">
        <f t="shared" si="0"/>
        <v>145048222.88</v>
      </c>
      <c r="P9" s="36">
        <f t="shared" si="0"/>
        <v>138884240.69</v>
      </c>
      <c r="Q9" s="36">
        <f t="shared" si="0"/>
        <v>103472331.09</v>
      </c>
      <c r="R9" s="36">
        <f t="shared" si="0"/>
        <v>105605940.98</v>
      </c>
      <c r="S9" s="36">
        <f t="shared" si="0"/>
        <v>104286180</v>
      </c>
    </row>
    <row r="10" spans="1:19" s="83" customFormat="1" ht="66.75" customHeight="1" x14ac:dyDescent="0.2">
      <c r="A10" s="80">
        <v>2500</v>
      </c>
      <c r="B10" s="84" t="s">
        <v>427</v>
      </c>
      <c r="C10" s="80"/>
      <c r="D10" s="80"/>
      <c r="E10" s="80"/>
      <c r="F10" s="80"/>
      <c r="G10" s="80"/>
      <c r="H10" s="81"/>
      <c r="I10" s="81"/>
      <c r="J10" s="81"/>
      <c r="K10" s="194"/>
      <c r="L10" s="81"/>
      <c r="M10" s="81"/>
      <c r="N10" s="82">
        <f t="shared" ref="N10:S10" si="1">N11+N15+N17+N23</f>
        <v>35541984.480000004</v>
      </c>
      <c r="O10" s="82">
        <f t="shared" si="1"/>
        <v>35518317.049999997</v>
      </c>
      <c r="P10" s="82">
        <f t="shared" si="1"/>
        <v>25818312.189999998</v>
      </c>
      <c r="Q10" s="82">
        <f t="shared" si="1"/>
        <v>13381477.09</v>
      </c>
      <c r="R10" s="82">
        <f t="shared" si="1"/>
        <v>16399186.98</v>
      </c>
      <c r="S10" s="82">
        <f t="shared" si="1"/>
        <v>15115726</v>
      </c>
    </row>
    <row r="11" spans="1:19" ht="45" x14ac:dyDescent="0.25">
      <c r="A11" s="327">
        <v>2508</v>
      </c>
      <c r="B11" s="307" t="s">
        <v>38</v>
      </c>
      <c r="C11" s="327">
        <v>901</v>
      </c>
      <c r="D11" s="330" t="s">
        <v>40</v>
      </c>
      <c r="E11" s="307" t="s">
        <v>20</v>
      </c>
      <c r="F11" s="307" t="s">
        <v>313</v>
      </c>
      <c r="G11" s="307" t="s">
        <v>21</v>
      </c>
      <c r="H11" s="9"/>
      <c r="I11" s="9"/>
      <c r="J11" s="9"/>
      <c r="K11" s="54" t="s">
        <v>29</v>
      </c>
      <c r="L11" s="9" t="s">
        <v>39</v>
      </c>
      <c r="M11" s="9" t="s">
        <v>30</v>
      </c>
      <c r="N11" s="309">
        <f>14955802.95+5481451.53</f>
        <v>20437254.48</v>
      </c>
      <c r="O11" s="309">
        <f>14955802.95+5457784.1</f>
        <v>20413587.049999997</v>
      </c>
      <c r="P11" s="309">
        <f>13929774.79+5383262.4</f>
        <v>19313037.189999998</v>
      </c>
      <c r="Q11" s="312">
        <f>5350000+2146672.09</f>
        <v>7496672.0899999999</v>
      </c>
      <c r="R11" s="309">
        <f>8355921+2158460.98</f>
        <v>10514381.98</v>
      </c>
      <c r="S11" s="309">
        <v>9230921</v>
      </c>
    </row>
    <row r="12" spans="1:19" ht="154.5" customHeight="1" x14ac:dyDescent="0.25">
      <c r="A12" s="328"/>
      <c r="B12" s="332"/>
      <c r="C12" s="329"/>
      <c r="D12" s="331"/>
      <c r="E12" s="308"/>
      <c r="F12" s="308"/>
      <c r="G12" s="308"/>
      <c r="H12" s="9"/>
      <c r="I12" s="9"/>
      <c r="J12" s="9"/>
      <c r="K12" s="54" t="s">
        <v>378</v>
      </c>
      <c r="L12" s="54"/>
      <c r="M12" s="54" t="s">
        <v>379</v>
      </c>
      <c r="N12" s="311"/>
      <c r="O12" s="311"/>
      <c r="P12" s="311"/>
      <c r="Q12" s="313"/>
      <c r="R12" s="311"/>
      <c r="S12" s="311"/>
    </row>
    <row r="13" spans="1:19" ht="126" customHeight="1" x14ac:dyDescent="0.25">
      <c r="A13" s="207"/>
      <c r="B13" s="291"/>
      <c r="C13" s="207"/>
      <c r="D13" s="292"/>
      <c r="E13" s="293"/>
      <c r="F13" s="293"/>
      <c r="G13" s="293"/>
      <c r="H13" s="293"/>
      <c r="I13" s="293"/>
      <c r="J13" s="293"/>
      <c r="K13" s="204" t="s">
        <v>584</v>
      </c>
      <c r="L13" s="54"/>
      <c r="M13" s="142" t="s">
        <v>595</v>
      </c>
      <c r="N13" s="294"/>
      <c r="O13" s="294"/>
      <c r="P13" s="294"/>
      <c r="Q13" s="295"/>
      <c r="R13" s="294"/>
      <c r="S13" s="294"/>
    </row>
    <row r="14" spans="1:19" ht="135" x14ac:dyDescent="0.25">
      <c r="A14" s="206"/>
      <c r="B14" s="205"/>
      <c r="C14" s="207"/>
      <c r="D14" s="189"/>
      <c r="E14" s="205"/>
      <c r="F14" s="205"/>
      <c r="G14" s="205"/>
      <c r="H14" s="205"/>
      <c r="I14" s="205"/>
      <c r="J14" s="205"/>
      <c r="K14" s="204" t="s">
        <v>593</v>
      </c>
      <c r="L14" s="54"/>
      <c r="M14" s="142" t="s">
        <v>594</v>
      </c>
      <c r="N14" s="187"/>
      <c r="O14" s="187"/>
      <c r="P14" s="187"/>
      <c r="Q14" s="191"/>
      <c r="R14" s="187"/>
      <c r="S14" s="187"/>
    </row>
    <row r="15" spans="1:19" ht="45" x14ac:dyDescent="0.25">
      <c r="A15" s="328">
        <v>2537</v>
      </c>
      <c r="B15" s="332" t="s">
        <v>41</v>
      </c>
      <c r="C15" s="327">
        <v>901</v>
      </c>
      <c r="D15" s="330" t="s">
        <v>34</v>
      </c>
      <c r="E15" s="307" t="s">
        <v>20</v>
      </c>
      <c r="F15" s="328" t="s">
        <v>42</v>
      </c>
      <c r="G15" s="328" t="s">
        <v>21</v>
      </c>
      <c r="H15" s="205"/>
      <c r="I15" s="205"/>
      <c r="J15" s="205"/>
      <c r="K15" s="54" t="s">
        <v>29</v>
      </c>
      <c r="L15" s="9" t="s">
        <v>39</v>
      </c>
      <c r="M15" s="9" t="s">
        <v>30</v>
      </c>
      <c r="N15" s="309">
        <v>5444336</v>
      </c>
      <c r="O15" s="309">
        <v>5444336</v>
      </c>
      <c r="P15" s="309">
        <v>5855275</v>
      </c>
      <c r="Q15" s="309">
        <v>5435305</v>
      </c>
      <c r="R15" s="309">
        <v>5435305</v>
      </c>
      <c r="S15" s="309">
        <v>5435305</v>
      </c>
    </row>
    <row r="16" spans="1:19" ht="165" x14ac:dyDescent="0.25">
      <c r="A16" s="328"/>
      <c r="B16" s="332"/>
      <c r="C16" s="328"/>
      <c r="D16" s="333"/>
      <c r="E16" s="308"/>
      <c r="F16" s="329"/>
      <c r="G16" s="329"/>
      <c r="H16" s="9"/>
      <c r="I16" s="9"/>
      <c r="J16" s="9"/>
      <c r="K16" s="54" t="s">
        <v>43</v>
      </c>
      <c r="L16" s="9"/>
      <c r="M16" s="9" t="s">
        <v>44</v>
      </c>
      <c r="N16" s="311"/>
      <c r="O16" s="311"/>
      <c r="P16" s="311"/>
      <c r="Q16" s="311"/>
      <c r="R16" s="311"/>
      <c r="S16" s="311"/>
    </row>
    <row r="17" spans="1:19" ht="35.25" customHeight="1" x14ac:dyDescent="0.25">
      <c r="A17" s="338">
        <v>2553</v>
      </c>
      <c r="B17" s="307" t="s">
        <v>472</v>
      </c>
      <c r="C17" s="327">
        <v>901</v>
      </c>
      <c r="D17" s="330" t="s">
        <v>429</v>
      </c>
      <c r="E17" s="307" t="s">
        <v>20</v>
      </c>
      <c r="F17" s="9" t="s">
        <v>47</v>
      </c>
      <c r="G17" s="9" t="s">
        <v>21</v>
      </c>
      <c r="H17" s="9"/>
      <c r="I17" s="9"/>
      <c r="J17" s="9"/>
      <c r="K17" s="54" t="s">
        <v>29</v>
      </c>
      <c r="L17" s="9"/>
      <c r="M17" s="55" t="s">
        <v>30</v>
      </c>
      <c r="N17" s="309">
        <v>9560394</v>
      </c>
      <c r="O17" s="309">
        <v>9560394</v>
      </c>
      <c r="P17" s="309">
        <v>500000</v>
      </c>
      <c r="Q17" s="309">
        <v>299500</v>
      </c>
      <c r="R17" s="309">
        <v>299500</v>
      </c>
      <c r="S17" s="309">
        <v>299500</v>
      </c>
    </row>
    <row r="18" spans="1:19" ht="105" x14ac:dyDescent="0.25">
      <c r="A18" s="339"/>
      <c r="B18" s="332"/>
      <c r="C18" s="328"/>
      <c r="D18" s="333"/>
      <c r="E18" s="308"/>
      <c r="F18" s="9"/>
      <c r="G18" s="9"/>
      <c r="H18" s="9"/>
      <c r="I18" s="9"/>
      <c r="J18" s="9"/>
      <c r="K18" s="124" t="s">
        <v>605</v>
      </c>
      <c r="L18" s="23"/>
      <c r="M18" s="385" t="s">
        <v>606</v>
      </c>
      <c r="N18" s="311"/>
      <c r="O18" s="311"/>
      <c r="P18" s="311"/>
      <c r="Q18" s="311"/>
      <c r="R18" s="311"/>
      <c r="S18" s="311"/>
    </row>
    <row r="19" spans="1:19" ht="135" x14ac:dyDescent="0.25">
      <c r="A19" s="340"/>
      <c r="B19" s="308"/>
      <c r="C19" s="329"/>
      <c r="D19" s="331"/>
      <c r="E19" s="9" t="s">
        <v>45</v>
      </c>
      <c r="F19" s="9" t="s">
        <v>306</v>
      </c>
      <c r="G19" s="9" t="s">
        <v>28</v>
      </c>
      <c r="H19" s="9"/>
      <c r="I19" s="9"/>
      <c r="J19" s="9"/>
      <c r="K19" s="124" t="s">
        <v>454</v>
      </c>
      <c r="L19" s="23"/>
      <c r="M19" s="385" t="s">
        <v>469</v>
      </c>
      <c r="N19" s="311"/>
      <c r="O19" s="311"/>
      <c r="P19" s="311"/>
      <c r="Q19" s="311"/>
      <c r="R19" s="311"/>
      <c r="S19" s="311"/>
    </row>
    <row r="20" spans="1:19" ht="120" x14ac:dyDescent="0.25">
      <c r="A20" s="247"/>
      <c r="B20" s="245"/>
      <c r="C20" s="246"/>
      <c r="D20" s="244"/>
      <c r="E20" s="9"/>
      <c r="F20" s="9"/>
      <c r="G20" s="9"/>
      <c r="H20" s="9"/>
      <c r="I20" s="9"/>
      <c r="J20" s="9"/>
      <c r="K20" s="124" t="s">
        <v>525</v>
      </c>
      <c r="L20" s="124"/>
      <c r="M20" s="270" t="s">
        <v>526</v>
      </c>
      <c r="N20" s="311"/>
      <c r="O20" s="311"/>
      <c r="P20" s="311"/>
      <c r="Q20" s="311"/>
      <c r="R20" s="311"/>
      <c r="S20" s="311"/>
    </row>
    <row r="21" spans="1:19" ht="120" x14ac:dyDescent="0.25">
      <c r="A21" s="177"/>
      <c r="B21" s="176"/>
      <c r="C21" s="175"/>
      <c r="D21" s="174"/>
      <c r="E21" s="9"/>
      <c r="F21" s="9"/>
      <c r="G21" s="9"/>
      <c r="H21" s="9"/>
      <c r="I21" s="9"/>
      <c r="J21" s="9"/>
      <c r="K21" s="54" t="s">
        <v>450</v>
      </c>
      <c r="L21" s="9"/>
      <c r="M21" s="55" t="s">
        <v>451</v>
      </c>
      <c r="N21" s="310"/>
      <c r="O21" s="310"/>
      <c r="P21" s="310"/>
      <c r="Q21" s="310"/>
      <c r="R21" s="310"/>
      <c r="S21" s="310"/>
    </row>
    <row r="22" spans="1:19" ht="120" x14ac:dyDescent="0.25">
      <c r="A22" s="263"/>
      <c r="B22" s="261"/>
      <c r="C22" s="262"/>
      <c r="D22" s="259"/>
      <c r="E22" s="260"/>
      <c r="F22" s="260"/>
      <c r="G22" s="260"/>
      <c r="H22" s="9"/>
      <c r="I22" s="9"/>
      <c r="J22" s="9"/>
      <c r="K22" s="54" t="s">
        <v>541</v>
      </c>
      <c r="L22" s="9"/>
      <c r="M22" s="55" t="s">
        <v>540</v>
      </c>
      <c r="N22" s="258"/>
      <c r="O22" s="258"/>
      <c r="P22" s="258"/>
      <c r="Q22" s="258"/>
      <c r="R22" s="258"/>
      <c r="S22" s="258"/>
    </row>
    <row r="23" spans="1:19" ht="45" x14ac:dyDescent="0.25">
      <c r="A23" s="338">
        <v>2557</v>
      </c>
      <c r="B23" s="307" t="s">
        <v>381</v>
      </c>
      <c r="C23" s="327">
        <v>901</v>
      </c>
      <c r="D23" s="330" t="s">
        <v>34</v>
      </c>
      <c r="E23" s="307" t="s">
        <v>20</v>
      </c>
      <c r="F23" s="307" t="s">
        <v>382</v>
      </c>
      <c r="G23" s="307" t="s">
        <v>21</v>
      </c>
      <c r="H23" s="9"/>
      <c r="I23" s="9"/>
      <c r="J23" s="9"/>
      <c r="K23" s="54" t="s">
        <v>29</v>
      </c>
      <c r="L23" s="9"/>
      <c r="M23" s="55" t="s">
        <v>30</v>
      </c>
      <c r="N23" s="309">
        <v>100000</v>
      </c>
      <c r="O23" s="309">
        <v>100000</v>
      </c>
      <c r="P23" s="309">
        <v>150000</v>
      </c>
      <c r="Q23" s="309">
        <v>150000</v>
      </c>
      <c r="R23" s="309">
        <v>150000</v>
      </c>
      <c r="S23" s="309">
        <v>150000</v>
      </c>
    </row>
    <row r="24" spans="1:19" ht="110.25" customHeight="1" x14ac:dyDescent="0.25">
      <c r="A24" s="339"/>
      <c r="B24" s="332"/>
      <c r="C24" s="328"/>
      <c r="D24" s="333"/>
      <c r="E24" s="332"/>
      <c r="F24" s="332"/>
      <c r="G24" s="332"/>
      <c r="H24" s="9"/>
      <c r="I24" s="9"/>
      <c r="J24" s="9"/>
      <c r="K24" s="54" t="s">
        <v>415</v>
      </c>
      <c r="L24" s="9"/>
      <c r="M24" s="55" t="s">
        <v>416</v>
      </c>
      <c r="N24" s="311"/>
      <c r="O24" s="311"/>
      <c r="P24" s="311"/>
      <c r="Q24" s="311"/>
      <c r="R24" s="311"/>
      <c r="S24" s="311"/>
    </row>
    <row r="25" spans="1:19" ht="137.25" customHeight="1" x14ac:dyDescent="0.25">
      <c r="A25" s="340"/>
      <c r="B25" s="308"/>
      <c r="C25" s="329"/>
      <c r="D25" s="331"/>
      <c r="E25" s="308"/>
      <c r="F25" s="308"/>
      <c r="G25" s="308"/>
      <c r="H25" s="9"/>
      <c r="I25" s="9"/>
      <c r="J25" s="9"/>
      <c r="K25" s="54" t="s">
        <v>31</v>
      </c>
      <c r="L25" s="9"/>
      <c r="M25" s="9" t="s">
        <v>32</v>
      </c>
      <c r="N25" s="310"/>
      <c r="O25" s="310"/>
      <c r="P25" s="310"/>
      <c r="Q25" s="310"/>
      <c r="R25" s="310"/>
      <c r="S25" s="310"/>
    </row>
    <row r="26" spans="1:19" s="19" customFormat="1" ht="114" x14ac:dyDescent="0.2">
      <c r="A26" s="64">
        <v>2600</v>
      </c>
      <c r="B26" s="155" t="s">
        <v>428</v>
      </c>
      <c r="C26" s="7"/>
      <c r="D26" s="7"/>
      <c r="E26" s="7"/>
      <c r="F26" s="7"/>
      <c r="G26" s="7"/>
      <c r="H26" s="7"/>
      <c r="I26" s="7"/>
      <c r="J26" s="7"/>
      <c r="K26" s="195"/>
      <c r="L26" s="7"/>
      <c r="M26" s="7"/>
      <c r="N26" s="37">
        <f>N27+N29+N33</f>
        <v>97684819.609999999</v>
      </c>
      <c r="O26" s="37">
        <f t="shared" ref="O26:R26" si="2">O27+O29+O33</f>
        <v>97684819.609999999</v>
      </c>
      <c r="P26" s="37">
        <f>P27+P29+P33+P31</f>
        <v>99757428.5</v>
      </c>
      <c r="Q26" s="37">
        <f t="shared" si="2"/>
        <v>77678054</v>
      </c>
      <c r="R26" s="37">
        <f t="shared" si="2"/>
        <v>77678054</v>
      </c>
      <c r="S26" s="37">
        <f>S27+S29+S33</f>
        <v>77678054</v>
      </c>
    </row>
    <row r="27" spans="1:19" ht="90" x14ac:dyDescent="0.25">
      <c r="A27" s="344" t="s">
        <v>418</v>
      </c>
      <c r="B27" s="307" t="s">
        <v>473</v>
      </c>
      <c r="C27" s="346">
        <v>901</v>
      </c>
      <c r="D27" s="327" t="s">
        <v>19</v>
      </c>
      <c r="E27" s="129" t="s">
        <v>20</v>
      </c>
      <c r="F27" s="129" t="s">
        <v>311</v>
      </c>
      <c r="G27" s="130" t="s">
        <v>21</v>
      </c>
      <c r="H27" s="129" t="s">
        <v>24</v>
      </c>
      <c r="I27" s="132" t="s">
        <v>48</v>
      </c>
      <c r="J27" s="130" t="s">
        <v>26</v>
      </c>
      <c r="K27" s="54" t="s">
        <v>29</v>
      </c>
      <c r="L27" s="4"/>
      <c r="M27" s="9" t="s">
        <v>30</v>
      </c>
      <c r="N27" s="322">
        <f>3022421.55+54870783.99+31745039.07-N33-N23</f>
        <v>89013040.609999999</v>
      </c>
      <c r="O27" s="322">
        <f>3022421.55+54870783.99+31745039.07-O33-O23</f>
        <v>89013040.609999999</v>
      </c>
      <c r="P27" s="322">
        <f>3269492.6+65297360.4+13126283.5-P33-P23</f>
        <v>80763853</v>
      </c>
      <c r="Q27" s="324">
        <f>2924512.6+58214896.4+8514313-Q33-Q23</f>
        <v>68938406</v>
      </c>
      <c r="R27" s="322">
        <f>2924512.6+58214896.4+8514313-150000-R33</f>
        <v>68938406</v>
      </c>
      <c r="S27" s="322">
        <v>68938406</v>
      </c>
    </row>
    <row r="28" spans="1:19" ht="230.25" customHeight="1" x14ac:dyDescent="0.25">
      <c r="A28" s="345"/>
      <c r="B28" s="332"/>
      <c r="C28" s="347"/>
      <c r="D28" s="328"/>
      <c r="E28" s="8" t="s">
        <v>22</v>
      </c>
      <c r="F28" s="6" t="s">
        <v>48</v>
      </c>
      <c r="G28" s="8" t="s">
        <v>23</v>
      </c>
      <c r="H28" s="9" t="s">
        <v>27</v>
      </c>
      <c r="I28" s="10" t="s">
        <v>48</v>
      </c>
      <c r="J28" s="9" t="s">
        <v>28</v>
      </c>
      <c r="K28" s="54"/>
      <c r="L28" s="9"/>
      <c r="M28" s="16"/>
      <c r="N28" s="326"/>
      <c r="O28" s="326"/>
      <c r="P28" s="323"/>
      <c r="Q28" s="325"/>
      <c r="R28" s="326"/>
      <c r="S28" s="326"/>
    </row>
    <row r="29" spans="1:19" ht="30" x14ac:dyDescent="0.25">
      <c r="A29" s="327">
        <v>2608</v>
      </c>
      <c r="B29" s="307" t="s">
        <v>333</v>
      </c>
      <c r="C29" s="327">
        <v>901</v>
      </c>
      <c r="D29" s="330" t="s">
        <v>34</v>
      </c>
      <c r="E29" s="307" t="s">
        <v>20</v>
      </c>
      <c r="F29" s="307" t="s">
        <v>312</v>
      </c>
      <c r="G29" s="327" t="s">
        <v>21</v>
      </c>
      <c r="H29" s="12"/>
      <c r="I29" s="9"/>
      <c r="J29" s="9"/>
      <c r="K29" s="54" t="s">
        <v>29</v>
      </c>
      <c r="L29" s="6" t="s">
        <v>36</v>
      </c>
      <c r="M29" s="9" t="s">
        <v>37</v>
      </c>
      <c r="N29" s="309">
        <v>8146575</v>
      </c>
      <c r="O29" s="309">
        <v>8146575</v>
      </c>
      <c r="P29" s="309">
        <v>8714292</v>
      </c>
      <c r="Q29" s="309">
        <v>8174332</v>
      </c>
      <c r="R29" s="322">
        <v>8174332</v>
      </c>
      <c r="S29" s="322">
        <v>8174332</v>
      </c>
    </row>
    <row r="30" spans="1:19" ht="90" x14ac:dyDescent="0.25">
      <c r="A30" s="329"/>
      <c r="B30" s="308"/>
      <c r="C30" s="329"/>
      <c r="D30" s="331"/>
      <c r="E30" s="308"/>
      <c r="F30" s="308"/>
      <c r="G30" s="329"/>
      <c r="H30" s="9"/>
      <c r="I30" s="9"/>
      <c r="J30" s="9"/>
      <c r="K30" s="54" t="s">
        <v>459</v>
      </c>
      <c r="L30" s="6"/>
      <c r="M30" s="9" t="s">
        <v>470</v>
      </c>
      <c r="N30" s="310"/>
      <c r="O30" s="310"/>
      <c r="P30" s="310"/>
      <c r="Q30" s="310"/>
      <c r="R30" s="323"/>
      <c r="S30" s="323"/>
    </row>
    <row r="31" spans="1:19" ht="101.25" customHeight="1" x14ac:dyDescent="0.25">
      <c r="A31" s="327">
        <v>2613</v>
      </c>
      <c r="B31" s="307" t="s">
        <v>510</v>
      </c>
      <c r="C31" s="327">
        <v>901</v>
      </c>
      <c r="D31" s="330" t="s">
        <v>511</v>
      </c>
      <c r="E31" s="9" t="s">
        <v>20</v>
      </c>
      <c r="F31" s="9" t="s">
        <v>512</v>
      </c>
      <c r="G31" s="9" t="s">
        <v>21</v>
      </c>
      <c r="H31" s="9" t="s">
        <v>513</v>
      </c>
      <c r="I31" s="9" t="s">
        <v>514</v>
      </c>
      <c r="J31" s="9" t="s">
        <v>515</v>
      </c>
      <c r="K31" s="9" t="s">
        <v>29</v>
      </c>
      <c r="L31" s="9"/>
      <c r="M31" s="9" t="s">
        <v>30</v>
      </c>
      <c r="N31" s="317">
        <v>0</v>
      </c>
      <c r="O31" s="317">
        <v>0</v>
      </c>
      <c r="P31" s="317">
        <v>9500000</v>
      </c>
      <c r="Q31" s="317"/>
      <c r="R31" s="317"/>
      <c r="S31" s="317"/>
    </row>
    <row r="32" spans="1:19" ht="34.5" customHeight="1" x14ac:dyDescent="0.25">
      <c r="A32" s="329"/>
      <c r="B32" s="308"/>
      <c r="C32" s="329"/>
      <c r="D32" s="331"/>
      <c r="E32" s="9" t="s">
        <v>516</v>
      </c>
      <c r="F32" s="9" t="s">
        <v>517</v>
      </c>
      <c r="G32" s="9" t="s">
        <v>518</v>
      </c>
      <c r="H32" s="9"/>
      <c r="I32" s="9"/>
      <c r="J32" s="9"/>
      <c r="K32" s="9"/>
      <c r="L32" s="9"/>
      <c r="M32" s="9"/>
      <c r="N32" s="318"/>
      <c r="O32" s="318"/>
      <c r="P32" s="318"/>
      <c r="Q32" s="318"/>
      <c r="R32" s="318"/>
      <c r="S32" s="318"/>
    </row>
    <row r="33" spans="1:19" ht="49.5" customHeight="1" x14ac:dyDescent="0.25">
      <c r="A33" s="62">
        <v>2626</v>
      </c>
      <c r="B33" s="52" t="s">
        <v>529</v>
      </c>
      <c r="C33" s="51">
        <v>901</v>
      </c>
      <c r="D33" s="53" t="s">
        <v>34</v>
      </c>
      <c r="E33" s="9" t="s">
        <v>20</v>
      </c>
      <c r="F33" s="9" t="s">
        <v>355</v>
      </c>
      <c r="G33" s="9" t="s">
        <v>21</v>
      </c>
      <c r="H33" s="9"/>
      <c r="I33" s="9"/>
      <c r="J33" s="9"/>
      <c r="K33" s="54" t="s">
        <v>29</v>
      </c>
      <c r="L33" s="9"/>
      <c r="M33" s="9" t="s">
        <v>30</v>
      </c>
      <c r="N33" s="290">
        <v>525204</v>
      </c>
      <c r="O33" s="290">
        <v>525204</v>
      </c>
      <c r="P33" s="170">
        <v>779283.5</v>
      </c>
      <c r="Q33" s="170">
        <v>565316</v>
      </c>
      <c r="R33" s="170">
        <v>565316</v>
      </c>
      <c r="S33" s="170">
        <v>565316</v>
      </c>
    </row>
    <row r="34" spans="1:19" s="19" customFormat="1" ht="156.75" x14ac:dyDescent="0.2">
      <c r="A34" s="146">
        <v>3100</v>
      </c>
      <c r="B34" s="147" t="s">
        <v>474</v>
      </c>
      <c r="C34" s="148"/>
      <c r="D34" s="149"/>
      <c r="E34" s="15"/>
      <c r="F34" s="15"/>
      <c r="G34" s="15"/>
      <c r="H34" s="15"/>
      <c r="I34" s="15"/>
      <c r="J34" s="15"/>
      <c r="K34" s="196"/>
      <c r="L34" s="15"/>
      <c r="M34" s="15"/>
      <c r="N34" s="171">
        <f>N35</f>
        <v>31488</v>
      </c>
      <c r="O34" s="171">
        <f>O35</f>
        <v>31488</v>
      </c>
      <c r="P34" s="171">
        <f>P35</f>
        <v>37800</v>
      </c>
      <c r="Q34" s="171">
        <f t="shared" ref="Q34:S34" si="3">Q35</f>
        <v>920400</v>
      </c>
      <c r="R34" s="171">
        <f t="shared" si="3"/>
        <v>36300</v>
      </c>
      <c r="S34" s="171">
        <f t="shared" si="3"/>
        <v>0</v>
      </c>
    </row>
    <row r="35" spans="1:19" ht="150" x14ac:dyDescent="0.25">
      <c r="A35" s="229">
        <v>3103</v>
      </c>
      <c r="B35" s="230" t="s">
        <v>475</v>
      </c>
      <c r="C35" s="229">
        <v>901</v>
      </c>
      <c r="D35" s="231" t="s">
        <v>77</v>
      </c>
      <c r="E35" s="9" t="s">
        <v>76</v>
      </c>
      <c r="F35" s="9" t="s">
        <v>46</v>
      </c>
      <c r="G35" s="9" t="s">
        <v>78</v>
      </c>
      <c r="H35" s="9" t="s">
        <v>79</v>
      </c>
      <c r="I35" s="9" t="s">
        <v>48</v>
      </c>
      <c r="J35" s="9" t="s">
        <v>80</v>
      </c>
      <c r="K35" s="54" t="s">
        <v>364</v>
      </c>
      <c r="L35" s="9"/>
      <c r="M35" s="9" t="s">
        <v>365</v>
      </c>
      <c r="N35" s="232">
        <v>31488</v>
      </c>
      <c r="O35" s="232">
        <v>31488</v>
      </c>
      <c r="P35" s="232">
        <v>37800</v>
      </c>
      <c r="Q35" s="232">
        <v>920400</v>
      </c>
      <c r="R35" s="232">
        <v>36300</v>
      </c>
      <c r="S35" s="232">
        <v>0</v>
      </c>
    </row>
    <row r="36" spans="1:19" s="19" customFormat="1" ht="42.75" x14ac:dyDescent="0.2">
      <c r="A36" s="14">
        <v>3200</v>
      </c>
      <c r="B36" s="15" t="s">
        <v>476</v>
      </c>
      <c r="C36" s="24"/>
      <c r="D36" s="65"/>
      <c r="E36" s="24"/>
      <c r="F36" s="24"/>
      <c r="G36" s="24"/>
      <c r="H36" s="24"/>
      <c r="I36" s="24"/>
      <c r="J36" s="24"/>
      <c r="K36" s="196"/>
      <c r="L36" s="15"/>
      <c r="M36" s="15"/>
      <c r="N36" s="172">
        <f t="shared" ref="N36:O36" si="4">SUM(N37:N43)+N46+N44</f>
        <v>11813600</v>
      </c>
      <c r="O36" s="172">
        <f t="shared" si="4"/>
        <v>11813598.219999999</v>
      </c>
      <c r="P36" s="172">
        <f>SUM(P37:P43)+P46+P44</f>
        <v>13270700</v>
      </c>
      <c r="Q36" s="172">
        <f t="shared" ref="Q36:S36" si="5">SUM(Q37:Q43)+Q46+Q44</f>
        <v>11492400</v>
      </c>
      <c r="R36" s="172">
        <f t="shared" si="5"/>
        <v>11492400</v>
      </c>
      <c r="S36" s="172">
        <f t="shared" si="5"/>
        <v>11492400</v>
      </c>
    </row>
    <row r="37" spans="1:19" ht="122.25" customHeight="1" x14ac:dyDescent="0.25">
      <c r="A37" s="111" t="s">
        <v>478</v>
      </c>
      <c r="B37" s="110" t="s">
        <v>477</v>
      </c>
      <c r="C37" s="66">
        <v>901</v>
      </c>
      <c r="D37" s="68" t="s">
        <v>34</v>
      </c>
      <c r="E37" s="67" t="s">
        <v>54</v>
      </c>
      <c r="F37" s="67" t="s">
        <v>55</v>
      </c>
      <c r="G37" s="67" t="s">
        <v>56</v>
      </c>
      <c r="H37" s="67" t="s">
        <v>57</v>
      </c>
      <c r="I37" s="67" t="s">
        <v>48</v>
      </c>
      <c r="J37" s="67" t="s">
        <v>58</v>
      </c>
      <c r="K37" s="204" t="s">
        <v>359</v>
      </c>
      <c r="L37" s="9"/>
      <c r="M37" s="54" t="s">
        <v>363</v>
      </c>
      <c r="N37" s="173">
        <v>429000</v>
      </c>
      <c r="O37" s="173">
        <v>428999.6</v>
      </c>
      <c r="P37" s="173">
        <v>500400</v>
      </c>
      <c r="Q37" s="173">
        <v>436900</v>
      </c>
      <c r="R37" s="173">
        <v>436900</v>
      </c>
      <c r="S37" s="173">
        <v>436900</v>
      </c>
    </row>
    <row r="38" spans="1:19" ht="229.5" customHeight="1" x14ac:dyDescent="0.25">
      <c r="A38" s="156" t="s">
        <v>430</v>
      </c>
      <c r="B38" s="56" t="s">
        <v>59</v>
      </c>
      <c r="C38" s="11">
        <v>901</v>
      </c>
      <c r="D38" s="17" t="s">
        <v>60</v>
      </c>
      <c r="E38" s="9" t="s">
        <v>544</v>
      </c>
      <c r="F38" s="9" t="s">
        <v>546</v>
      </c>
      <c r="G38" s="9" t="s">
        <v>547</v>
      </c>
      <c r="H38" s="9" t="s">
        <v>61</v>
      </c>
      <c r="I38" s="9" t="s">
        <v>48</v>
      </c>
      <c r="J38" s="9" t="s">
        <v>62</v>
      </c>
      <c r="K38" s="54" t="s">
        <v>82</v>
      </c>
      <c r="L38" s="9"/>
      <c r="M38" s="9" t="s">
        <v>63</v>
      </c>
      <c r="N38" s="173">
        <v>489500</v>
      </c>
      <c r="O38" s="173">
        <v>489500</v>
      </c>
      <c r="P38" s="173">
        <v>401100</v>
      </c>
      <c r="Q38" s="173">
        <v>345300</v>
      </c>
      <c r="R38" s="173">
        <v>345300</v>
      </c>
      <c r="S38" s="173">
        <v>345300</v>
      </c>
    </row>
    <row r="39" spans="1:19" ht="195" x14ac:dyDescent="0.25">
      <c r="A39" s="156" t="s">
        <v>430</v>
      </c>
      <c r="B39" s="125" t="s">
        <v>397</v>
      </c>
      <c r="C39" s="127">
        <v>901</v>
      </c>
      <c r="D39" s="126" t="s">
        <v>60</v>
      </c>
      <c r="E39" s="255" t="s">
        <v>544</v>
      </c>
      <c r="F39" s="255" t="s">
        <v>545</v>
      </c>
      <c r="G39" s="255" t="s">
        <v>547</v>
      </c>
      <c r="H39" s="9" t="s">
        <v>548</v>
      </c>
      <c r="I39" s="9" t="s">
        <v>48</v>
      </c>
      <c r="J39" s="9" t="s">
        <v>549</v>
      </c>
      <c r="K39" s="54" t="s">
        <v>435</v>
      </c>
      <c r="L39" s="54"/>
      <c r="M39" s="54" t="s">
        <v>441</v>
      </c>
      <c r="N39" s="169">
        <v>2586100</v>
      </c>
      <c r="O39" s="169">
        <v>2586100</v>
      </c>
      <c r="P39" s="169">
        <v>2975000</v>
      </c>
      <c r="Q39" s="169">
        <v>2600500</v>
      </c>
      <c r="R39" s="169">
        <v>2600500</v>
      </c>
      <c r="S39" s="169">
        <v>2600500</v>
      </c>
    </row>
    <row r="40" spans="1:19" ht="195" x14ac:dyDescent="0.25">
      <c r="A40" s="327" t="s">
        <v>430</v>
      </c>
      <c r="B40" s="307" t="s">
        <v>64</v>
      </c>
      <c r="C40" s="357">
        <v>901</v>
      </c>
      <c r="D40" s="330" t="s">
        <v>60</v>
      </c>
      <c r="E40" s="9" t="s">
        <v>544</v>
      </c>
      <c r="F40" s="9" t="s">
        <v>550</v>
      </c>
      <c r="G40" s="9" t="s">
        <v>547</v>
      </c>
      <c r="H40" s="9" t="s">
        <v>65</v>
      </c>
      <c r="I40" s="9" t="s">
        <v>48</v>
      </c>
      <c r="J40" s="9" t="s">
        <v>66</v>
      </c>
      <c r="K40" s="54" t="s">
        <v>69</v>
      </c>
      <c r="L40" s="9"/>
      <c r="M40" s="9" t="s">
        <v>70</v>
      </c>
      <c r="N40" s="309">
        <v>3313200</v>
      </c>
      <c r="O40" s="309">
        <v>3313199.85</v>
      </c>
      <c r="P40" s="309">
        <v>3857700</v>
      </c>
      <c r="Q40" s="309">
        <v>3317400</v>
      </c>
      <c r="R40" s="309">
        <v>3317400</v>
      </c>
      <c r="S40" s="309">
        <v>3317400</v>
      </c>
    </row>
    <row r="41" spans="1:19" ht="90" x14ac:dyDescent="0.25">
      <c r="A41" s="329"/>
      <c r="B41" s="308"/>
      <c r="C41" s="358"/>
      <c r="D41" s="331"/>
      <c r="E41" s="255"/>
      <c r="F41" s="255"/>
      <c r="G41" s="9"/>
      <c r="H41" s="9" t="s">
        <v>67</v>
      </c>
      <c r="I41" s="9" t="s">
        <v>48</v>
      </c>
      <c r="J41" s="9" t="s">
        <v>68</v>
      </c>
      <c r="K41" s="54"/>
      <c r="L41" s="9"/>
      <c r="M41" s="9"/>
      <c r="N41" s="310"/>
      <c r="O41" s="310"/>
      <c r="P41" s="310"/>
      <c r="Q41" s="310"/>
      <c r="R41" s="310"/>
      <c r="S41" s="310"/>
    </row>
    <row r="42" spans="1:19" ht="180" x14ac:dyDescent="0.25">
      <c r="A42" s="328" t="s">
        <v>430</v>
      </c>
      <c r="B42" s="332" t="s">
        <v>71</v>
      </c>
      <c r="C42" s="327">
        <v>901</v>
      </c>
      <c r="D42" s="330" t="s">
        <v>60</v>
      </c>
      <c r="E42" s="9" t="s">
        <v>544</v>
      </c>
      <c r="F42" s="9" t="s">
        <v>550</v>
      </c>
      <c r="G42" s="9" t="s">
        <v>547</v>
      </c>
      <c r="H42" s="9" t="s">
        <v>72</v>
      </c>
      <c r="I42" s="9" t="s">
        <v>48</v>
      </c>
      <c r="J42" s="9" t="s">
        <v>73</v>
      </c>
      <c r="K42" s="54" t="s">
        <v>360</v>
      </c>
      <c r="L42" s="9"/>
      <c r="M42" s="54" t="s">
        <v>363</v>
      </c>
      <c r="N42" s="309">
        <v>1208400</v>
      </c>
      <c r="O42" s="309">
        <v>1208399.3899999999</v>
      </c>
      <c r="P42" s="309">
        <v>1394400</v>
      </c>
      <c r="Q42" s="309">
        <v>1214300</v>
      </c>
      <c r="R42" s="309">
        <v>1214300</v>
      </c>
      <c r="S42" s="309">
        <v>1214300</v>
      </c>
    </row>
    <row r="43" spans="1:19" ht="75" x14ac:dyDescent="0.25">
      <c r="A43" s="329"/>
      <c r="B43" s="308"/>
      <c r="C43" s="329"/>
      <c r="D43" s="331"/>
      <c r="E43" s="9"/>
      <c r="F43" s="9"/>
      <c r="G43" s="9"/>
      <c r="H43" s="9" t="s">
        <v>74</v>
      </c>
      <c r="I43" s="9" t="s">
        <v>48</v>
      </c>
      <c r="J43" s="9" t="s">
        <v>75</v>
      </c>
      <c r="K43" s="54"/>
      <c r="L43" s="9"/>
      <c r="M43" s="54"/>
      <c r="N43" s="310"/>
      <c r="O43" s="310"/>
      <c r="P43" s="310"/>
      <c r="Q43" s="310"/>
      <c r="R43" s="310"/>
      <c r="S43" s="310"/>
    </row>
    <row r="44" spans="1:19" ht="358.5" customHeight="1" x14ac:dyDescent="0.25">
      <c r="A44" s="167">
        <v>3201.3202000000001</v>
      </c>
      <c r="B44" s="272" t="s">
        <v>542</v>
      </c>
      <c r="C44" s="165">
        <v>901</v>
      </c>
      <c r="D44" s="166" t="s">
        <v>60</v>
      </c>
      <c r="E44" s="9" t="s">
        <v>544</v>
      </c>
      <c r="F44" s="9" t="s">
        <v>551</v>
      </c>
      <c r="G44" s="9" t="s">
        <v>547</v>
      </c>
      <c r="H44" s="271" t="s">
        <v>543</v>
      </c>
      <c r="I44" s="9"/>
      <c r="J44" s="9" t="s">
        <v>445</v>
      </c>
      <c r="K44" s="54" t="s">
        <v>444</v>
      </c>
      <c r="L44" s="9"/>
      <c r="M44" s="54" t="s">
        <v>446</v>
      </c>
      <c r="N44" s="309">
        <v>913100</v>
      </c>
      <c r="O44" s="309">
        <v>913100</v>
      </c>
      <c r="P44" s="309">
        <v>808000</v>
      </c>
      <c r="Q44" s="309">
        <v>694500</v>
      </c>
      <c r="R44" s="309">
        <v>694500</v>
      </c>
      <c r="S44" s="309">
        <v>694500</v>
      </c>
    </row>
    <row r="45" spans="1:19" ht="198.75" customHeight="1" x14ac:dyDescent="0.25">
      <c r="A45" s="222"/>
      <c r="B45" s="220"/>
      <c r="C45" s="219"/>
      <c r="D45" s="221"/>
      <c r="E45" s="9"/>
      <c r="F45" s="9"/>
      <c r="G45" s="9"/>
      <c r="H45" s="225"/>
      <c r="I45" s="9"/>
      <c r="J45" s="9"/>
      <c r="K45" s="54" t="s">
        <v>499</v>
      </c>
      <c r="L45" s="9"/>
      <c r="M45" s="54" t="s">
        <v>500</v>
      </c>
      <c r="N45" s="310"/>
      <c r="O45" s="310"/>
      <c r="P45" s="310"/>
      <c r="Q45" s="310"/>
      <c r="R45" s="310"/>
      <c r="S45" s="310"/>
    </row>
    <row r="46" spans="1:19" ht="240" x14ac:dyDescent="0.25">
      <c r="A46" s="156" t="s">
        <v>430</v>
      </c>
      <c r="B46" s="102" t="s">
        <v>479</v>
      </c>
      <c r="C46" s="103">
        <v>901</v>
      </c>
      <c r="D46" s="104" t="s">
        <v>315</v>
      </c>
      <c r="E46" s="9" t="s">
        <v>544</v>
      </c>
      <c r="F46" s="9" t="s">
        <v>551</v>
      </c>
      <c r="G46" s="9" t="s">
        <v>547</v>
      </c>
      <c r="H46" s="9" t="s">
        <v>383</v>
      </c>
      <c r="I46" s="9" t="s">
        <v>194</v>
      </c>
      <c r="J46" s="9" t="s">
        <v>384</v>
      </c>
      <c r="K46" s="54" t="s">
        <v>389</v>
      </c>
      <c r="L46" s="9"/>
      <c r="M46" s="54" t="s">
        <v>392</v>
      </c>
      <c r="N46" s="170">
        <v>2874300</v>
      </c>
      <c r="O46" s="170">
        <v>2874299.38</v>
      </c>
      <c r="P46" s="170">
        <v>3334100</v>
      </c>
      <c r="Q46" s="170">
        <v>2883500</v>
      </c>
      <c r="R46" s="170">
        <v>2883500</v>
      </c>
      <c r="S46" s="170">
        <v>2883500</v>
      </c>
    </row>
    <row r="47" spans="1:19" ht="28.5" x14ac:dyDescent="0.25">
      <c r="A47" s="29"/>
      <c r="B47" s="28" t="s">
        <v>83</v>
      </c>
      <c r="C47" s="29">
        <v>902</v>
      </c>
      <c r="D47" s="30"/>
      <c r="E47" s="28"/>
      <c r="F47" s="28"/>
      <c r="G47" s="28"/>
      <c r="H47" s="28"/>
      <c r="I47" s="28"/>
      <c r="J47" s="28"/>
      <c r="K47" s="197"/>
      <c r="L47" s="28"/>
      <c r="M47" s="28"/>
      <c r="N47" s="178">
        <f t="shared" ref="N47:S47" si="6">N48+N61+N57</f>
        <v>168541968.31</v>
      </c>
      <c r="O47" s="178">
        <f t="shared" si="6"/>
        <v>168539831.46000001</v>
      </c>
      <c r="P47" s="178">
        <f t="shared" si="6"/>
        <v>156068572.22</v>
      </c>
      <c r="Q47" s="178">
        <f t="shared" si="6"/>
        <v>141252029</v>
      </c>
      <c r="R47" s="178">
        <f t="shared" si="6"/>
        <v>151634229</v>
      </c>
      <c r="S47" s="178">
        <f t="shared" si="6"/>
        <v>117224329</v>
      </c>
    </row>
    <row r="48" spans="1:19" s="19" customFormat="1" ht="57" x14ac:dyDescent="0.2">
      <c r="A48" s="80">
        <v>2500</v>
      </c>
      <c r="B48" s="84" t="s">
        <v>427</v>
      </c>
      <c r="C48" s="14"/>
      <c r="D48" s="22"/>
      <c r="E48" s="15"/>
      <c r="F48" s="15"/>
      <c r="G48" s="15"/>
      <c r="H48" s="15"/>
      <c r="I48" s="15"/>
      <c r="J48" s="15"/>
      <c r="K48" s="196"/>
      <c r="L48" s="15"/>
      <c r="M48" s="15"/>
      <c r="N48" s="172">
        <f t="shared" ref="N48:S48" si="7">N49+N53+N54</f>
        <v>8407579.6799999997</v>
      </c>
      <c r="O48" s="172">
        <f t="shared" si="7"/>
        <v>8407579.6799999997</v>
      </c>
      <c r="P48" s="172">
        <f>P49+P53+P54+P56</f>
        <v>18801946.02</v>
      </c>
      <c r="Q48" s="172">
        <f t="shared" si="7"/>
        <v>6661000</v>
      </c>
      <c r="R48" s="172">
        <f t="shared" si="7"/>
        <v>6771000</v>
      </c>
      <c r="S48" s="172">
        <f t="shared" si="7"/>
        <v>6771000</v>
      </c>
    </row>
    <row r="49" spans="1:19" ht="225" x14ac:dyDescent="0.25">
      <c r="A49" s="327">
        <v>2504</v>
      </c>
      <c r="B49" s="307" t="s">
        <v>84</v>
      </c>
      <c r="C49" s="327">
        <v>902</v>
      </c>
      <c r="D49" s="330" t="s">
        <v>34</v>
      </c>
      <c r="E49" s="9" t="s">
        <v>20</v>
      </c>
      <c r="F49" s="9" t="s">
        <v>88</v>
      </c>
      <c r="G49" s="9" t="s">
        <v>85</v>
      </c>
      <c r="H49" s="9" t="s">
        <v>95</v>
      </c>
      <c r="I49" s="9" t="s">
        <v>48</v>
      </c>
      <c r="J49" s="9" t="s">
        <v>26</v>
      </c>
      <c r="K49" s="54" t="s">
        <v>366</v>
      </c>
      <c r="L49" s="9"/>
      <c r="M49" s="9" t="s">
        <v>100</v>
      </c>
      <c r="N49" s="309">
        <f>1233727.79+72000</f>
        <v>1305727.79</v>
      </c>
      <c r="O49" s="309">
        <f>1233727.79+72000</f>
        <v>1305727.79</v>
      </c>
      <c r="P49" s="309">
        <f>355000+145000</f>
        <v>500000</v>
      </c>
      <c r="Q49" s="309">
        <f>355000+145000</f>
        <v>500000</v>
      </c>
      <c r="R49" s="309">
        <f>355000+255000</f>
        <v>610000</v>
      </c>
      <c r="S49" s="309">
        <v>610000</v>
      </c>
    </row>
    <row r="50" spans="1:19" ht="90" x14ac:dyDescent="0.25">
      <c r="A50" s="328"/>
      <c r="B50" s="332"/>
      <c r="C50" s="328"/>
      <c r="D50" s="333"/>
      <c r="E50" s="9" t="s">
        <v>86</v>
      </c>
      <c r="F50" s="9" t="s">
        <v>87</v>
      </c>
      <c r="G50" s="9" t="s">
        <v>89</v>
      </c>
      <c r="H50" s="9" t="s">
        <v>96</v>
      </c>
      <c r="I50" s="9" t="s">
        <v>48</v>
      </c>
      <c r="J50" s="9" t="s">
        <v>97</v>
      </c>
      <c r="K50" s="54" t="s">
        <v>101</v>
      </c>
      <c r="L50" s="9"/>
      <c r="M50" s="9" t="s">
        <v>102</v>
      </c>
      <c r="N50" s="311"/>
      <c r="O50" s="311"/>
      <c r="P50" s="311"/>
      <c r="Q50" s="311"/>
      <c r="R50" s="311"/>
      <c r="S50" s="311"/>
    </row>
    <row r="51" spans="1:19" ht="180" x14ac:dyDescent="0.25">
      <c r="A51" s="328"/>
      <c r="B51" s="332"/>
      <c r="C51" s="328"/>
      <c r="D51" s="333"/>
      <c r="E51" s="9" t="s">
        <v>90</v>
      </c>
      <c r="F51" s="9" t="s">
        <v>91</v>
      </c>
      <c r="G51" s="9" t="s">
        <v>92</v>
      </c>
      <c r="H51" s="9" t="s">
        <v>98</v>
      </c>
      <c r="I51" s="9" t="s">
        <v>48</v>
      </c>
      <c r="J51" s="9" t="s">
        <v>99</v>
      </c>
      <c r="K51" s="54" t="s">
        <v>103</v>
      </c>
      <c r="L51" s="9"/>
      <c r="M51" s="9" t="s">
        <v>104</v>
      </c>
      <c r="N51" s="311"/>
      <c r="O51" s="311"/>
      <c r="P51" s="311"/>
      <c r="Q51" s="311"/>
      <c r="R51" s="311"/>
      <c r="S51" s="311"/>
    </row>
    <row r="52" spans="1:19" ht="229.5" customHeight="1" x14ac:dyDescent="0.25">
      <c r="A52" s="329"/>
      <c r="B52" s="308"/>
      <c r="C52" s="329"/>
      <c r="D52" s="331"/>
      <c r="E52" s="9" t="s">
        <v>93</v>
      </c>
      <c r="F52" s="9" t="s">
        <v>48</v>
      </c>
      <c r="G52" s="9" t="s">
        <v>94</v>
      </c>
      <c r="H52" s="9" t="s">
        <v>27</v>
      </c>
      <c r="I52" s="10" t="s">
        <v>48</v>
      </c>
      <c r="J52" s="9" t="s">
        <v>28</v>
      </c>
      <c r="K52" s="54" t="s">
        <v>29</v>
      </c>
      <c r="L52" s="9" t="s">
        <v>105</v>
      </c>
      <c r="M52" s="9" t="s">
        <v>30</v>
      </c>
      <c r="N52" s="310"/>
      <c r="O52" s="310"/>
      <c r="P52" s="310"/>
      <c r="Q52" s="310"/>
      <c r="R52" s="310"/>
      <c r="S52" s="310"/>
    </row>
    <row r="53" spans="1:19" ht="135" x14ac:dyDescent="0.25">
      <c r="A53" s="11">
        <v>2508</v>
      </c>
      <c r="B53" s="9" t="s">
        <v>38</v>
      </c>
      <c r="C53" s="11">
        <v>902</v>
      </c>
      <c r="D53" s="17" t="s">
        <v>106</v>
      </c>
      <c r="E53" s="9" t="s">
        <v>20</v>
      </c>
      <c r="F53" s="9" t="s">
        <v>107</v>
      </c>
      <c r="G53" s="9" t="s">
        <v>85</v>
      </c>
      <c r="H53" s="9"/>
      <c r="I53" s="9"/>
      <c r="J53" s="9"/>
      <c r="K53" s="54" t="s">
        <v>29</v>
      </c>
      <c r="L53" s="9" t="s">
        <v>108</v>
      </c>
      <c r="M53" s="9" t="s">
        <v>30</v>
      </c>
      <c r="N53" s="173">
        <v>6473851.8899999997</v>
      </c>
      <c r="O53" s="173">
        <v>6473851.8899999997</v>
      </c>
      <c r="P53" s="173">
        <v>7361546.0199999996</v>
      </c>
      <c r="Q53" s="173">
        <v>6104000</v>
      </c>
      <c r="R53" s="173">
        <v>6104000</v>
      </c>
      <c r="S53" s="173">
        <v>6104000</v>
      </c>
    </row>
    <row r="54" spans="1:19" ht="409.5" customHeight="1" x14ac:dyDescent="0.25">
      <c r="A54" s="327">
        <v>2544</v>
      </c>
      <c r="B54" s="307" t="s">
        <v>480</v>
      </c>
      <c r="C54" s="327">
        <v>902</v>
      </c>
      <c r="D54" s="330" t="s">
        <v>110</v>
      </c>
      <c r="E54" s="9" t="s">
        <v>20</v>
      </c>
      <c r="F54" s="9" t="s">
        <v>111</v>
      </c>
      <c r="G54" s="9" t="s">
        <v>85</v>
      </c>
      <c r="H54" s="9" t="s">
        <v>112</v>
      </c>
      <c r="I54" s="9" t="s">
        <v>113</v>
      </c>
      <c r="J54" s="9" t="s">
        <v>114</v>
      </c>
      <c r="K54" s="54" t="s">
        <v>29</v>
      </c>
      <c r="L54" s="9"/>
      <c r="M54" s="9" t="s">
        <v>37</v>
      </c>
      <c r="N54" s="309">
        <v>628000</v>
      </c>
      <c r="O54" s="309">
        <v>628000</v>
      </c>
      <c r="P54" s="309">
        <v>1390450.05</v>
      </c>
      <c r="Q54" s="309">
        <v>57000</v>
      </c>
      <c r="R54" s="309">
        <v>57000</v>
      </c>
      <c r="S54" s="309">
        <v>57000</v>
      </c>
    </row>
    <row r="55" spans="1:19" ht="409.5" customHeight="1" x14ac:dyDescent="0.25">
      <c r="A55" s="329"/>
      <c r="B55" s="308"/>
      <c r="C55" s="329"/>
      <c r="D55" s="331"/>
      <c r="E55" s="9"/>
      <c r="F55" s="9"/>
      <c r="G55" s="9"/>
      <c r="H55" s="9"/>
      <c r="I55" s="9"/>
      <c r="J55" s="9"/>
      <c r="K55" s="54" t="s">
        <v>115</v>
      </c>
      <c r="L55" s="9"/>
      <c r="M55" s="9" t="s">
        <v>116</v>
      </c>
      <c r="N55" s="310"/>
      <c r="O55" s="310"/>
      <c r="P55" s="310"/>
      <c r="Q55" s="310"/>
      <c r="R55" s="310"/>
      <c r="S55" s="310"/>
    </row>
    <row r="56" spans="1:19" ht="96.75" customHeight="1" x14ac:dyDescent="0.25">
      <c r="A56" s="298">
        <v>2561</v>
      </c>
      <c r="B56" s="299" t="s">
        <v>598</v>
      </c>
      <c r="C56" s="298">
        <v>902</v>
      </c>
      <c r="D56" s="300" t="s">
        <v>597</v>
      </c>
      <c r="E56" s="9" t="s">
        <v>20</v>
      </c>
      <c r="F56" s="9" t="s">
        <v>599</v>
      </c>
      <c r="G56" s="9" t="s">
        <v>85</v>
      </c>
      <c r="H56" s="9"/>
      <c r="I56" s="9"/>
      <c r="J56" s="9"/>
      <c r="K56" s="54"/>
      <c r="L56" s="9"/>
      <c r="M56" s="9"/>
      <c r="N56" s="297"/>
      <c r="O56" s="297"/>
      <c r="P56" s="297">
        <v>9549949.9499999993</v>
      </c>
      <c r="Q56" s="297"/>
      <c r="R56" s="297"/>
      <c r="S56" s="297"/>
    </row>
    <row r="57" spans="1:19" s="19" customFormat="1" ht="114" x14ac:dyDescent="0.2">
      <c r="A57" s="64">
        <v>2600</v>
      </c>
      <c r="B57" s="155" t="s">
        <v>428</v>
      </c>
      <c r="C57" s="7"/>
      <c r="D57" s="7"/>
      <c r="E57" s="7"/>
      <c r="F57" s="7"/>
      <c r="G57" s="7"/>
      <c r="H57" s="7"/>
      <c r="I57" s="7"/>
      <c r="J57" s="7"/>
      <c r="K57" s="195"/>
      <c r="L57" s="7"/>
      <c r="M57" s="7"/>
      <c r="N57" s="37">
        <f t="shared" ref="N57:S57" si="8">N58</f>
        <v>20790170.32</v>
      </c>
      <c r="O57" s="37">
        <f t="shared" si="8"/>
        <v>20790170.32</v>
      </c>
      <c r="P57" s="37">
        <f t="shared" si="8"/>
        <v>22065726.199999999</v>
      </c>
      <c r="Q57" s="37">
        <f t="shared" si="8"/>
        <v>19731329</v>
      </c>
      <c r="R57" s="37">
        <f t="shared" si="8"/>
        <v>19731329</v>
      </c>
      <c r="S57" s="37">
        <f t="shared" si="8"/>
        <v>19731329</v>
      </c>
    </row>
    <row r="58" spans="1:19" ht="45" x14ac:dyDescent="0.25">
      <c r="A58" s="344" t="s">
        <v>419</v>
      </c>
      <c r="B58" s="307" t="s">
        <v>473</v>
      </c>
      <c r="C58" s="346">
        <v>902</v>
      </c>
      <c r="D58" s="330" t="s">
        <v>34</v>
      </c>
      <c r="E58" s="307" t="s">
        <v>20</v>
      </c>
      <c r="F58" s="307" t="s">
        <v>311</v>
      </c>
      <c r="G58" s="327" t="s">
        <v>21</v>
      </c>
      <c r="H58" s="307" t="s">
        <v>24</v>
      </c>
      <c r="I58" s="360" t="s">
        <v>48</v>
      </c>
      <c r="J58" s="327" t="s">
        <v>26</v>
      </c>
      <c r="K58" s="54" t="s">
        <v>29</v>
      </c>
      <c r="L58" s="4"/>
      <c r="M58" s="9" t="s">
        <v>30</v>
      </c>
      <c r="N58" s="322">
        <f>15263645.88+5526524.44</f>
        <v>20790170.32</v>
      </c>
      <c r="O58" s="322">
        <f>15263645.88+5526524.44</f>
        <v>20790170.32</v>
      </c>
      <c r="P58" s="322">
        <f>17722726.2+4343000</f>
        <v>22065726.199999999</v>
      </c>
      <c r="Q58" s="324">
        <f>15388329+4343000</f>
        <v>19731329</v>
      </c>
      <c r="R58" s="322">
        <f>15388329+4343000</f>
        <v>19731329</v>
      </c>
      <c r="S58" s="322">
        <v>19731329</v>
      </c>
    </row>
    <row r="59" spans="1:19" ht="45" x14ac:dyDescent="0.25">
      <c r="A59" s="345"/>
      <c r="B59" s="332"/>
      <c r="C59" s="347"/>
      <c r="D59" s="333"/>
      <c r="E59" s="308"/>
      <c r="F59" s="308"/>
      <c r="G59" s="329"/>
      <c r="H59" s="308"/>
      <c r="I59" s="361"/>
      <c r="J59" s="329"/>
      <c r="K59" s="54" t="s">
        <v>103</v>
      </c>
      <c r="L59" s="9"/>
      <c r="M59" s="9" t="s">
        <v>104</v>
      </c>
      <c r="N59" s="326"/>
      <c r="O59" s="326"/>
      <c r="P59" s="326"/>
      <c r="Q59" s="334"/>
      <c r="R59" s="326"/>
      <c r="S59" s="326"/>
    </row>
    <row r="60" spans="1:19" ht="229.5" customHeight="1" x14ac:dyDescent="0.25">
      <c r="A60" s="345"/>
      <c r="B60" s="332"/>
      <c r="C60" s="347"/>
      <c r="D60" s="333"/>
      <c r="E60" s="8" t="s">
        <v>22</v>
      </c>
      <c r="F60" s="6" t="s">
        <v>48</v>
      </c>
      <c r="G60" s="8" t="s">
        <v>23</v>
      </c>
      <c r="H60" s="9" t="s">
        <v>27</v>
      </c>
      <c r="I60" s="10" t="s">
        <v>48</v>
      </c>
      <c r="J60" s="9" t="s">
        <v>28</v>
      </c>
      <c r="K60" s="54" t="s">
        <v>101</v>
      </c>
      <c r="L60" s="9"/>
      <c r="M60" s="9" t="s">
        <v>102</v>
      </c>
      <c r="N60" s="326"/>
      <c r="O60" s="326"/>
      <c r="P60" s="323"/>
      <c r="Q60" s="325"/>
      <c r="R60" s="326"/>
      <c r="S60" s="326"/>
    </row>
    <row r="61" spans="1:19" s="19" customFormat="1" ht="42.75" x14ac:dyDescent="0.2">
      <c r="A61" s="14">
        <v>3200</v>
      </c>
      <c r="B61" s="15" t="s">
        <v>476</v>
      </c>
      <c r="C61" s="14"/>
      <c r="D61" s="22"/>
      <c r="E61" s="15"/>
      <c r="F61" s="15"/>
      <c r="G61" s="15"/>
      <c r="H61" s="15"/>
      <c r="I61" s="15"/>
      <c r="J61" s="15"/>
      <c r="K61" s="196"/>
      <c r="L61" s="15"/>
      <c r="M61" s="15"/>
      <c r="N61" s="172">
        <f t="shared" ref="N61:S61" si="9">N62</f>
        <v>139344218.31</v>
      </c>
      <c r="O61" s="172">
        <f t="shared" si="9"/>
        <v>139342081.46000001</v>
      </c>
      <c r="P61" s="172">
        <f>P62</f>
        <v>115200900</v>
      </c>
      <c r="Q61" s="172">
        <f t="shared" si="9"/>
        <v>114859700</v>
      </c>
      <c r="R61" s="172">
        <f t="shared" si="9"/>
        <v>125131900</v>
      </c>
      <c r="S61" s="172">
        <f t="shared" si="9"/>
        <v>90722000</v>
      </c>
    </row>
    <row r="62" spans="1:19" ht="239.25" customHeight="1" x14ac:dyDescent="0.25">
      <c r="A62" s="327">
        <v>3237</v>
      </c>
      <c r="B62" s="307" t="s">
        <v>336</v>
      </c>
      <c r="C62" s="327">
        <v>902</v>
      </c>
      <c r="D62" s="330" t="s">
        <v>117</v>
      </c>
      <c r="E62" s="9" t="s">
        <v>544</v>
      </c>
      <c r="F62" s="9" t="s">
        <v>552</v>
      </c>
      <c r="G62" s="9" t="s">
        <v>547</v>
      </c>
      <c r="H62" s="9" t="s">
        <v>118</v>
      </c>
      <c r="I62" s="9" t="s">
        <v>48</v>
      </c>
      <c r="J62" s="9" t="s">
        <v>119</v>
      </c>
      <c r="K62" s="54" t="s">
        <v>455</v>
      </c>
      <c r="L62" s="9"/>
      <c r="M62" s="9" t="s">
        <v>456</v>
      </c>
      <c r="N62" s="309">
        <f>136670000+2674218.31</f>
        <v>139344218.31</v>
      </c>
      <c r="O62" s="309">
        <f>136670000+2672081.46</f>
        <v>139342081.46000001</v>
      </c>
      <c r="P62" s="309">
        <f>2417000+112783900</f>
        <v>115200900</v>
      </c>
      <c r="Q62" s="309">
        <f>112783900+2075800</f>
        <v>114859700</v>
      </c>
      <c r="R62" s="309">
        <f>2373900+122758000</f>
        <v>125131900</v>
      </c>
      <c r="S62" s="309">
        <v>90722000</v>
      </c>
    </row>
    <row r="63" spans="1:19" ht="45" x14ac:dyDescent="0.25">
      <c r="A63" s="329"/>
      <c r="B63" s="308"/>
      <c r="C63" s="329"/>
      <c r="D63" s="331"/>
      <c r="E63" s="275"/>
      <c r="F63" s="9"/>
      <c r="G63" s="9"/>
      <c r="H63" s="9" t="s">
        <v>120</v>
      </c>
      <c r="I63" s="9" t="s">
        <v>121</v>
      </c>
      <c r="J63" s="9" t="s">
        <v>122</v>
      </c>
      <c r="K63" s="54"/>
      <c r="L63" s="9"/>
      <c r="M63" s="9"/>
      <c r="N63" s="310"/>
      <c r="O63" s="310"/>
      <c r="P63" s="310"/>
      <c r="Q63" s="310"/>
      <c r="R63" s="310"/>
      <c r="S63" s="310"/>
    </row>
    <row r="64" spans="1:19" s="19" customFormat="1" ht="28.5" x14ac:dyDescent="0.2">
      <c r="A64" s="29"/>
      <c r="B64" s="28" t="s">
        <v>123</v>
      </c>
      <c r="C64" s="29">
        <v>903</v>
      </c>
      <c r="D64" s="30"/>
      <c r="E64" s="28"/>
      <c r="F64" s="28"/>
      <c r="G64" s="28"/>
      <c r="H64" s="28"/>
      <c r="I64" s="28"/>
      <c r="J64" s="28"/>
      <c r="K64" s="197"/>
      <c r="L64" s="28"/>
      <c r="M64" s="28"/>
      <c r="N64" s="178">
        <f t="shared" ref="N64:S64" si="10">N65+N67</f>
        <v>28116492</v>
      </c>
      <c r="O64" s="178">
        <f t="shared" si="10"/>
        <v>28056454.199999999</v>
      </c>
      <c r="P64" s="178">
        <f t="shared" si="10"/>
        <v>30272368</v>
      </c>
      <c r="Q64" s="178">
        <f t="shared" si="10"/>
        <v>26944757</v>
      </c>
      <c r="R64" s="178">
        <f t="shared" si="10"/>
        <v>27124757</v>
      </c>
      <c r="S64" s="178">
        <f t="shared" si="10"/>
        <v>27124757</v>
      </c>
    </row>
    <row r="65" spans="1:19" s="19" customFormat="1" ht="57" x14ac:dyDescent="0.2">
      <c r="A65" s="80">
        <v>2500</v>
      </c>
      <c r="B65" s="84" t="s">
        <v>427</v>
      </c>
      <c r="C65" s="14"/>
      <c r="D65" s="22"/>
      <c r="E65" s="15"/>
      <c r="F65" s="15"/>
      <c r="G65" s="15"/>
      <c r="H65" s="15"/>
      <c r="I65" s="15"/>
      <c r="J65" s="15"/>
      <c r="K65" s="196"/>
      <c r="L65" s="15"/>
      <c r="M65" s="15"/>
      <c r="N65" s="172">
        <f t="shared" ref="N65:S65" si="11">N66</f>
        <v>0</v>
      </c>
      <c r="O65" s="172">
        <f t="shared" si="11"/>
        <v>0</v>
      </c>
      <c r="P65" s="172">
        <f t="shared" si="11"/>
        <v>180000</v>
      </c>
      <c r="Q65" s="172">
        <f t="shared" si="11"/>
        <v>0</v>
      </c>
      <c r="R65" s="172">
        <f t="shared" si="11"/>
        <v>0</v>
      </c>
      <c r="S65" s="172">
        <f t="shared" si="11"/>
        <v>0</v>
      </c>
    </row>
    <row r="66" spans="1:19" ht="135" x14ac:dyDescent="0.25">
      <c r="A66" s="11">
        <v>2508</v>
      </c>
      <c r="B66" s="9" t="s">
        <v>38</v>
      </c>
      <c r="C66" s="11">
        <v>903</v>
      </c>
      <c r="D66" s="17" t="s">
        <v>106</v>
      </c>
      <c r="E66" s="9" t="s">
        <v>20</v>
      </c>
      <c r="F66" s="9" t="s">
        <v>107</v>
      </c>
      <c r="G66" s="9" t="s">
        <v>85</v>
      </c>
      <c r="H66" s="9"/>
      <c r="I66" s="9"/>
      <c r="J66" s="9"/>
      <c r="K66" s="54" t="s">
        <v>29</v>
      </c>
      <c r="L66" s="9" t="s">
        <v>108</v>
      </c>
      <c r="M66" s="9" t="s">
        <v>30</v>
      </c>
      <c r="N66" s="173">
        <v>0</v>
      </c>
      <c r="O66" s="173">
        <v>0</v>
      </c>
      <c r="P66" s="173">
        <v>180000</v>
      </c>
      <c r="Q66" s="173">
        <v>0</v>
      </c>
      <c r="R66" s="173">
        <v>0</v>
      </c>
      <c r="S66" s="173">
        <v>0</v>
      </c>
    </row>
    <row r="67" spans="1:19" s="19" customFormat="1" ht="102.75" customHeight="1" x14ac:dyDescent="0.2">
      <c r="A67" s="14">
        <v>2600</v>
      </c>
      <c r="B67" s="155" t="s">
        <v>428</v>
      </c>
      <c r="C67" s="85"/>
      <c r="D67" s="86"/>
      <c r="E67" s="87"/>
      <c r="F67" s="87"/>
      <c r="G67" s="87"/>
      <c r="H67" s="88"/>
      <c r="I67" s="87"/>
      <c r="J67" s="87"/>
      <c r="K67" s="196"/>
      <c r="L67" s="15"/>
      <c r="M67" s="15"/>
      <c r="N67" s="179">
        <f t="shared" ref="N67:S67" si="12">N68+N72+N74</f>
        <v>28116492</v>
      </c>
      <c r="O67" s="179">
        <f t="shared" si="12"/>
        <v>28056454.199999999</v>
      </c>
      <c r="P67" s="179">
        <f t="shared" si="12"/>
        <v>30092368</v>
      </c>
      <c r="Q67" s="179">
        <f t="shared" si="12"/>
        <v>26944757</v>
      </c>
      <c r="R67" s="179">
        <f t="shared" si="12"/>
        <v>27124757</v>
      </c>
      <c r="S67" s="179">
        <f t="shared" si="12"/>
        <v>27124757</v>
      </c>
    </row>
    <row r="68" spans="1:19" ht="45" x14ac:dyDescent="0.25">
      <c r="A68" s="344" t="s">
        <v>418</v>
      </c>
      <c r="B68" s="307" t="s">
        <v>481</v>
      </c>
      <c r="C68" s="346">
        <v>903</v>
      </c>
      <c r="D68" s="330" t="s">
        <v>125</v>
      </c>
      <c r="E68" s="307" t="s">
        <v>20</v>
      </c>
      <c r="F68" s="307" t="s">
        <v>311</v>
      </c>
      <c r="G68" s="327" t="s">
        <v>21</v>
      </c>
      <c r="H68" s="307" t="s">
        <v>24</v>
      </c>
      <c r="I68" s="360" t="s">
        <v>48</v>
      </c>
      <c r="J68" s="327" t="s">
        <v>26</v>
      </c>
      <c r="K68" s="54" t="s">
        <v>29</v>
      </c>
      <c r="L68" s="4"/>
      <c r="M68" s="9" t="s">
        <v>30</v>
      </c>
      <c r="N68" s="309">
        <f>24122111+59982</f>
        <v>24182093</v>
      </c>
      <c r="O68" s="309">
        <f>24076384.46+59982</f>
        <v>24136366.460000001</v>
      </c>
      <c r="P68" s="309">
        <f>23496674+1500000+150000</f>
        <v>25146674</v>
      </c>
      <c r="Q68" s="309">
        <f>20908757+1500000</f>
        <v>22408757</v>
      </c>
      <c r="R68" s="309">
        <f>21088757+1500000</f>
        <v>22588757</v>
      </c>
      <c r="S68" s="309">
        <f>21088757+1500000</f>
        <v>22588757</v>
      </c>
    </row>
    <row r="69" spans="1:19" ht="60" x14ac:dyDescent="0.25">
      <c r="A69" s="345"/>
      <c r="B69" s="332"/>
      <c r="C69" s="347"/>
      <c r="D69" s="333"/>
      <c r="E69" s="308"/>
      <c r="F69" s="308"/>
      <c r="G69" s="329"/>
      <c r="H69" s="308"/>
      <c r="I69" s="361"/>
      <c r="J69" s="329"/>
      <c r="K69" s="54" t="s">
        <v>356</v>
      </c>
      <c r="L69" s="9"/>
      <c r="M69" s="9" t="s">
        <v>127</v>
      </c>
      <c r="N69" s="311"/>
      <c r="O69" s="311"/>
      <c r="P69" s="311"/>
      <c r="Q69" s="311"/>
      <c r="R69" s="311"/>
      <c r="S69" s="311"/>
    </row>
    <row r="70" spans="1:19" ht="99.75" customHeight="1" x14ac:dyDescent="0.25">
      <c r="A70" s="345"/>
      <c r="B70" s="332"/>
      <c r="C70" s="347"/>
      <c r="D70" s="333"/>
      <c r="E70" s="99" t="s">
        <v>22</v>
      </c>
      <c r="F70" s="100" t="s">
        <v>48</v>
      </c>
      <c r="G70" s="99" t="s">
        <v>23</v>
      </c>
      <c r="H70" s="307" t="s">
        <v>27</v>
      </c>
      <c r="I70" s="132" t="s">
        <v>48</v>
      </c>
      <c r="J70" s="129" t="s">
        <v>28</v>
      </c>
      <c r="K70" s="54" t="s">
        <v>520</v>
      </c>
      <c r="L70" s="9"/>
      <c r="M70" s="9" t="s">
        <v>521</v>
      </c>
      <c r="N70" s="311"/>
      <c r="O70" s="311"/>
      <c r="P70" s="311"/>
      <c r="Q70" s="311"/>
      <c r="R70" s="311"/>
      <c r="S70" s="311"/>
    </row>
    <row r="71" spans="1:19" ht="133.5" customHeight="1" x14ac:dyDescent="0.25">
      <c r="A71" s="242"/>
      <c r="B71" s="239"/>
      <c r="C71" s="243"/>
      <c r="D71" s="238"/>
      <c r="E71" s="241"/>
      <c r="F71" s="100"/>
      <c r="G71" s="241"/>
      <c r="H71" s="362"/>
      <c r="I71" s="240"/>
      <c r="J71" s="236"/>
      <c r="K71" s="54"/>
      <c r="L71" s="9"/>
      <c r="M71" s="9"/>
      <c r="N71" s="234"/>
      <c r="O71" s="234"/>
      <c r="P71" s="234"/>
      <c r="Q71" s="234"/>
      <c r="R71" s="234"/>
      <c r="S71" s="234"/>
    </row>
    <row r="72" spans="1:19" ht="60" x14ac:dyDescent="0.25">
      <c r="A72" s="211">
        <v>2604</v>
      </c>
      <c r="B72" s="209" t="s">
        <v>482</v>
      </c>
      <c r="C72" s="357">
        <v>903</v>
      </c>
      <c r="D72" s="330" t="s">
        <v>347</v>
      </c>
      <c r="E72" s="307" t="s">
        <v>20</v>
      </c>
      <c r="F72" s="307" t="s">
        <v>126</v>
      </c>
      <c r="G72" s="307" t="s">
        <v>85</v>
      </c>
      <c r="H72" s="327"/>
      <c r="I72" s="346"/>
      <c r="J72" s="327"/>
      <c r="K72" s="54" t="s">
        <v>29</v>
      </c>
      <c r="L72" s="54" t="s">
        <v>314</v>
      </c>
      <c r="M72" s="54" t="s">
        <v>30</v>
      </c>
      <c r="N72" s="309">
        <v>1231</v>
      </c>
      <c r="O72" s="309">
        <v>1230.8599999999999</v>
      </c>
      <c r="P72" s="309">
        <v>13615</v>
      </c>
      <c r="Q72" s="309">
        <v>0</v>
      </c>
      <c r="R72" s="309">
        <v>0</v>
      </c>
      <c r="S72" s="309">
        <v>0</v>
      </c>
    </row>
    <row r="73" spans="1:19" ht="75" x14ac:dyDescent="0.25">
      <c r="A73" s="105"/>
      <c r="B73" s="107"/>
      <c r="C73" s="329"/>
      <c r="D73" s="331"/>
      <c r="E73" s="308"/>
      <c r="F73" s="308"/>
      <c r="G73" s="308"/>
      <c r="H73" s="329"/>
      <c r="I73" s="359"/>
      <c r="J73" s="329"/>
      <c r="K73" s="54" t="s">
        <v>385</v>
      </c>
      <c r="L73" s="54"/>
      <c r="M73" s="54" t="s">
        <v>386</v>
      </c>
      <c r="N73" s="310"/>
      <c r="O73" s="310"/>
      <c r="P73" s="310"/>
      <c r="Q73" s="310"/>
      <c r="R73" s="310"/>
      <c r="S73" s="310"/>
    </row>
    <row r="74" spans="1:19" ht="120" x14ac:dyDescent="0.25">
      <c r="A74" s="70">
        <v>2623</v>
      </c>
      <c r="B74" s="92" t="s">
        <v>483</v>
      </c>
      <c r="C74" s="108">
        <v>903</v>
      </c>
      <c r="D74" s="106" t="s">
        <v>317</v>
      </c>
      <c r="E74" s="107" t="s">
        <v>20</v>
      </c>
      <c r="F74" s="107" t="s">
        <v>318</v>
      </c>
      <c r="G74" s="107" t="s">
        <v>85</v>
      </c>
      <c r="H74" s="107" t="s">
        <v>24</v>
      </c>
      <c r="I74" s="107" t="s">
        <v>275</v>
      </c>
      <c r="J74" s="107" t="s">
        <v>26</v>
      </c>
      <c r="K74" s="54" t="s">
        <v>319</v>
      </c>
      <c r="L74" s="54"/>
      <c r="M74" s="54" t="s">
        <v>387</v>
      </c>
      <c r="N74" s="309">
        <v>3933168</v>
      </c>
      <c r="O74" s="309">
        <v>3918856.88</v>
      </c>
      <c r="P74" s="309">
        <v>4932079</v>
      </c>
      <c r="Q74" s="309">
        <v>4536000</v>
      </c>
      <c r="R74" s="309">
        <v>4536000</v>
      </c>
      <c r="S74" s="309">
        <v>4536000</v>
      </c>
    </row>
    <row r="75" spans="1:19" ht="165" x14ac:dyDescent="0.25">
      <c r="A75" s="70"/>
      <c r="B75" s="92"/>
      <c r="C75" s="281"/>
      <c r="D75" s="279"/>
      <c r="E75" s="280"/>
      <c r="F75" s="280"/>
      <c r="G75" s="280"/>
      <c r="H75" s="90"/>
      <c r="I75" s="280"/>
      <c r="J75" s="280"/>
      <c r="K75" s="54" t="s">
        <v>563</v>
      </c>
      <c r="L75" s="54"/>
      <c r="M75" s="54" t="s">
        <v>573</v>
      </c>
      <c r="N75" s="311"/>
      <c r="O75" s="311"/>
      <c r="P75" s="311"/>
      <c r="Q75" s="311"/>
      <c r="R75" s="311"/>
      <c r="S75" s="311"/>
    </row>
    <row r="76" spans="1:19" ht="120" x14ac:dyDescent="0.25">
      <c r="A76" s="105"/>
      <c r="B76" s="107"/>
      <c r="C76" s="105"/>
      <c r="D76" s="106"/>
      <c r="E76" s="107"/>
      <c r="F76" s="107"/>
      <c r="G76" s="107"/>
      <c r="H76" s="90"/>
      <c r="I76" s="109"/>
      <c r="J76" s="107"/>
      <c r="K76" s="54" t="s">
        <v>388</v>
      </c>
      <c r="L76" s="54"/>
      <c r="M76" s="54" t="s">
        <v>460</v>
      </c>
      <c r="N76" s="310"/>
      <c r="O76" s="310"/>
      <c r="P76" s="310"/>
      <c r="Q76" s="310"/>
      <c r="R76" s="310"/>
      <c r="S76" s="310"/>
    </row>
    <row r="77" spans="1:19" s="19" customFormat="1" ht="57" x14ac:dyDescent="0.2">
      <c r="A77" s="29"/>
      <c r="B77" s="28" t="s">
        <v>130</v>
      </c>
      <c r="C77" s="29">
        <v>904</v>
      </c>
      <c r="D77" s="30"/>
      <c r="E77" s="28"/>
      <c r="F77" s="28"/>
      <c r="G77" s="28"/>
      <c r="H77" s="28"/>
      <c r="I77" s="28"/>
      <c r="J77" s="28"/>
      <c r="K77" s="197"/>
      <c r="L77" s="28"/>
      <c r="M77" s="28"/>
      <c r="N77" s="178">
        <f t="shared" ref="N77:S77" si="13">N78</f>
        <v>54034377.399999999</v>
      </c>
      <c r="O77" s="178">
        <f t="shared" si="13"/>
        <v>52924128.759999998</v>
      </c>
      <c r="P77" s="178">
        <f t="shared" si="13"/>
        <v>57129533</v>
      </c>
      <c r="Q77" s="178">
        <f t="shared" si="13"/>
        <v>51219718</v>
      </c>
      <c r="R77" s="178">
        <f t="shared" si="13"/>
        <v>54219718</v>
      </c>
      <c r="S77" s="178">
        <f t="shared" si="13"/>
        <v>54219718</v>
      </c>
    </row>
    <row r="78" spans="1:19" s="19" customFormat="1" ht="57" x14ac:dyDescent="0.2">
      <c r="A78" s="80">
        <v>2500</v>
      </c>
      <c r="B78" s="84" t="s">
        <v>427</v>
      </c>
      <c r="C78" s="14">
        <v>904</v>
      </c>
      <c r="D78" s="22"/>
      <c r="E78" s="15"/>
      <c r="F78" s="15"/>
      <c r="G78" s="15"/>
      <c r="H78" s="15"/>
      <c r="I78" s="15"/>
      <c r="J78" s="15"/>
      <c r="K78" s="196"/>
      <c r="L78" s="15"/>
      <c r="M78" s="15"/>
      <c r="N78" s="172">
        <f t="shared" ref="N78:S78" si="14">N79+N82</f>
        <v>54034377.399999999</v>
      </c>
      <c r="O78" s="172">
        <f t="shared" si="14"/>
        <v>52924128.759999998</v>
      </c>
      <c r="P78" s="172">
        <f t="shared" si="14"/>
        <v>57129533</v>
      </c>
      <c r="Q78" s="172">
        <f t="shared" si="14"/>
        <v>51219718</v>
      </c>
      <c r="R78" s="172">
        <f t="shared" si="14"/>
        <v>54219718</v>
      </c>
      <c r="S78" s="172">
        <f t="shared" si="14"/>
        <v>54219718</v>
      </c>
    </row>
    <row r="79" spans="1:19" ht="165" x14ac:dyDescent="0.25">
      <c r="A79" s="327">
        <v>2517</v>
      </c>
      <c r="B79" s="307" t="s">
        <v>131</v>
      </c>
      <c r="C79" s="327">
        <v>904</v>
      </c>
      <c r="D79" s="330" t="s">
        <v>591</v>
      </c>
      <c r="E79" s="9" t="s">
        <v>132</v>
      </c>
      <c r="F79" s="9" t="s">
        <v>133</v>
      </c>
      <c r="G79" s="9" t="s">
        <v>134</v>
      </c>
      <c r="H79" s="9" t="s">
        <v>135</v>
      </c>
      <c r="I79" s="9" t="s">
        <v>46</v>
      </c>
      <c r="J79" s="9" t="s">
        <v>136</v>
      </c>
      <c r="K79" s="54" t="s">
        <v>522</v>
      </c>
      <c r="L79" s="9"/>
      <c r="M79" s="9" t="s">
        <v>523</v>
      </c>
      <c r="N79" s="309">
        <f>54034377.4-N82</f>
        <v>52718761.129999995</v>
      </c>
      <c r="O79" s="309">
        <f>52924128.76-O82</f>
        <v>52718761.129999995</v>
      </c>
      <c r="P79" s="309">
        <f>57129533-P82</f>
        <v>55129533</v>
      </c>
      <c r="Q79" s="309">
        <f>51219718-Q82</f>
        <v>49219718</v>
      </c>
      <c r="R79" s="309">
        <f>54219718-R82</f>
        <v>52219718</v>
      </c>
      <c r="S79" s="309">
        <v>52219718</v>
      </c>
    </row>
    <row r="80" spans="1:19" ht="113.25" customHeight="1" x14ac:dyDescent="0.25">
      <c r="A80" s="328"/>
      <c r="B80" s="332"/>
      <c r="C80" s="328"/>
      <c r="D80" s="333"/>
      <c r="E80" s="9"/>
      <c r="F80" s="9"/>
      <c r="G80" s="9"/>
      <c r="H80" s="9"/>
      <c r="I80" s="9"/>
      <c r="J80" s="9"/>
      <c r="K80" s="54" t="s">
        <v>140</v>
      </c>
      <c r="L80" s="9"/>
      <c r="M80" s="16">
        <v>41241</v>
      </c>
      <c r="N80" s="311"/>
      <c r="O80" s="311"/>
      <c r="P80" s="311"/>
      <c r="Q80" s="311"/>
      <c r="R80" s="311"/>
      <c r="S80" s="311"/>
    </row>
    <row r="81" spans="1:19" ht="135" x14ac:dyDescent="0.25">
      <c r="A81" s="328"/>
      <c r="B81" s="332"/>
      <c r="C81" s="328"/>
      <c r="D81" s="333"/>
      <c r="E81" s="9"/>
      <c r="F81" s="9"/>
      <c r="G81" s="9"/>
      <c r="H81" s="9" t="s">
        <v>137</v>
      </c>
      <c r="I81" s="9" t="s">
        <v>138</v>
      </c>
      <c r="J81" s="9" t="s">
        <v>139</v>
      </c>
      <c r="K81" s="54" t="s">
        <v>452</v>
      </c>
      <c r="L81" s="9"/>
      <c r="M81" s="16" t="s">
        <v>453</v>
      </c>
      <c r="N81" s="311"/>
      <c r="O81" s="311"/>
      <c r="P81" s="311"/>
      <c r="Q81" s="311"/>
      <c r="R81" s="311"/>
      <c r="S81" s="311"/>
    </row>
    <row r="82" spans="1:19" ht="45" x14ac:dyDescent="0.25">
      <c r="A82" s="327">
        <v>2520</v>
      </c>
      <c r="B82" s="307" t="s">
        <v>141</v>
      </c>
      <c r="C82" s="327">
        <v>904</v>
      </c>
      <c r="D82" s="330" t="s">
        <v>530</v>
      </c>
      <c r="E82" s="9" t="s">
        <v>142</v>
      </c>
      <c r="F82" s="9" t="s">
        <v>145</v>
      </c>
      <c r="G82" s="9" t="s">
        <v>143</v>
      </c>
      <c r="H82" s="327"/>
      <c r="I82" s="327"/>
      <c r="J82" s="327"/>
      <c r="K82" s="54" t="s">
        <v>29</v>
      </c>
      <c r="L82" s="9" t="s">
        <v>146</v>
      </c>
      <c r="M82" s="9" t="s">
        <v>30</v>
      </c>
      <c r="N82" s="309">
        <v>1315616.27</v>
      </c>
      <c r="O82" s="309">
        <v>205367.63</v>
      </c>
      <c r="P82" s="309">
        <v>2000000</v>
      </c>
      <c r="Q82" s="309">
        <v>2000000</v>
      </c>
      <c r="R82" s="309">
        <v>2000000</v>
      </c>
      <c r="S82" s="309">
        <v>2000000</v>
      </c>
    </row>
    <row r="83" spans="1:19" ht="120" x14ac:dyDescent="0.25">
      <c r="A83" s="328"/>
      <c r="B83" s="332"/>
      <c r="C83" s="328"/>
      <c r="D83" s="333"/>
      <c r="E83" s="9" t="s">
        <v>20</v>
      </c>
      <c r="F83" s="9" t="s">
        <v>144</v>
      </c>
      <c r="G83" s="9" t="s">
        <v>85</v>
      </c>
      <c r="H83" s="328"/>
      <c r="I83" s="328"/>
      <c r="J83" s="328"/>
      <c r="K83" s="54" t="s">
        <v>413</v>
      </c>
      <c r="L83" s="9"/>
      <c r="M83" s="23" t="s">
        <v>414</v>
      </c>
      <c r="N83" s="311"/>
      <c r="O83" s="311"/>
      <c r="P83" s="311"/>
      <c r="Q83" s="311"/>
      <c r="R83" s="311"/>
      <c r="S83" s="311"/>
    </row>
    <row r="84" spans="1:19" ht="90" x14ac:dyDescent="0.25">
      <c r="A84" s="94"/>
      <c r="B84" s="95"/>
      <c r="C84" s="94"/>
      <c r="D84" s="96"/>
      <c r="E84" s="9"/>
      <c r="F84" s="9"/>
      <c r="G84" s="9"/>
      <c r="H84" s="94"/>
      <c r="I84" s="94"/>
      <c r="J84" s="94"/>
      <c r="K84" s="54" t="s">
        <v>367</v>
      </c>
      <c r="L84" s="9"/>
      <c r="M84" s="9" t="s">
        <v>368</v>
      </c>
      <c r="N84" s="170"/>
      <c r="O84" s="170"/>
      <c r="P84" s="170"/>
      <c r="Q84" s="170"/>
      <c r="R84" s="170"/>
      <c r="S84" s="170"/>
    </row>
    <row r="85" spans="1:19" ht="120" x14ac:dyDescent="0.25">
      <c r="A85" s="265"/>
      <c r="B85" s="266"/>
      <c r="C85" s="265"/>
      <c r="D85" s="267"/>
      <c r="E85" s="9"/>
      <c r="F85" s="9"/>
      <c r="G85" s="9"/>
      <c r="H85" s="265"/>
      <c r="I85" s="265"/>
      <c r="J85" s="265"/>
      <c r="K85" s="54" t="s">
        <v>527</v>
      </c>
      <c r="L85" s="9"/>
      <c r="M85" s="16" t="s">
        <v>528</v>
      </c>
      <c r="N85" s="264"/>
      <c r="O85" s="264"/>
      <c r="P85" s="264"/>
      <c r="Q85" s="264"/>
      <c r="R85" s="264"/>
      <c r="S85" s="264"/>
    </row>
    <row r="86" spans="1:19" ht="120" x14ac:dyDescent="0.25">
      <c r="A86" s="265"/>
      <c r="B86" s="266"/>
      <c r="C86" s="265"/>
      <c r="D86" s="267"/>
      <c r="E86" s="9"/>
      <c r="F86" s="9"/>
      <c r="G86" s="9"/>
      <c r="H86" s="265"/>
      <c r="I86" s="265"/>
      <c r="J86" s="265"/>
      <c r="K86" s="54" t="s">
        <v>586</v>
      </c>
      <c r="L86" s="54"/>
      <c r="M86" s="142" t="s">
        <v>585</v>
      </c>
      <c r="N86" s="264"/>
      <c r="O86" s="264"/>
      <c r="P86" s="264"/>
      <c r="Q86" s="264"/>
      <c r="R86" s="264"/>
      <c r="S86" s="264"/>
    </row>
    <row r="87" spans="1:19" s="19" customFormat="1" ht="28.5" x14ac:dyDescent="0.2">
      <c r="A87" s="29"/>
      <c r="B87" s="28" t="s">
        <v>147</v>
      </c>
      <c r="C87" s="29">
        <v>906</v>
      </c>
      <c r="D87" s="30"/>
      <c r="E87" s="28"/>
      <c r="F87" s="28"/>
      <c r="G87" s="28"/>
      <c r="H87" s="28"/>
      <c r="I87" s="28"/>
      <c r="J87" s="28"/>
      <c r="K87" s="197"/>
      <c r="L87" s="28"/>
      <c r="M87" s="28"/>
      <c r="N87" s="178">
        <f t="shared" ref="N87:S87" si="15">N88+N114+N109+N121</f>
        <v>2378733445.3099999</v>
      </c>
      <c r="O87" s="178">
        <f t="shared" si="15"/>
        <v>2326631827.9400001</v>
      </c>
      <c r="P87" s="178">
        <f t="shared" si="15"/>
        <v>2509787826.6599998</v>
      </c>
      <c r="Q87" s="178">
        <f t="shared" si="15"/>
        <v>2285921239</v>
      </c>
      <c r="R87" s="178">
        <f t="shared" si="15"/>
        <v>2349666108.77</v>
      </c>
      <c r="S87" s="178">
        <f t="shared" si="15"/>
        <v>2151028739</v>
      </c>
    </row>
    <row r="88" spans="1:19" s="19" customFormat="1" ht="57" x14ac:dyDescent="0.2">
      <c r="A88" s="81">
        <v>2500</v>
      </c>
      <c r="B88" s="89" t="s">
        <v>427</v>
      </c>
      <c r="C88" s="20"/>
      <c r="D88" s="22"/>
      <c r="E88" s="15"/>
      <c r="F88" s="15"/>
      <c r="G88" s="15"/>
      <c r="H88" s="15"/>
      <c r="I88" s="15"/>
      <c r="J88" s="15"/>
      <c r="K88" s="196"/>
      <c r="L88" s="15"/>
      <c r="M88" s="15"/>
      <c r="N88" s="172">
        <f t="shared" ref="N88:S88" si="16">N90+N107+N89</f>
        <v>896627567.62</v>
      </c>
      <c r="O88" s="172">
        <f t="shared" si="16"/>
        <v>847525644.66999996</v>
      </c>
      <c r="P88" s="172">
        <f t="shared" si="16"/>
        <v>939345821.71000004</v>
      </c>
      <c r="Q88" s="172">
        <f t="shared" si="16"/>
        <v>843217299.39999998</v>
      </c>
      <c r="R88" s="172">
        <f t="shared" si="16"/>
        <v>909235242.25</v>
      </c>
      <c r="S88" s="172">
        <f t="shared" si="16"/>
        <v>744599262.66999996</v>
      </c>
    </row>
    <row r="89" spans="1:19" s="83" customFormat="1" ht="90" x14ac:dyDescent="0.2">
      <c r="A89" s="301">
        <v>2502</v>
      </c>
      <c r="B89" s="302" t="s">
        <v>538</v>
      </c>
      <c r="C89" s="303">
        <v>906</v>
      </c>
      <c r="D89" s="304" t="s">
        <v>587</v>
      </c>
      <c r="E89" s="305" t="s">
        <v>20</v>
      </c>
      <c r="F89" s="305" t="s">
        <v>559</v>
      </c>
      <c r="G89" s="305" t="s">
        <v>85</v>
      </c>
      <c r="H89" s="31"/>
      <c r="I89" s="31"/>
      <c r="J89" s="31"/>
      <c r="K89" s="124" t="s">
        <v>29</v>
      </c>
      <c r="L89" s="23" t="s">
        <v>539</v>
      </c>
      <c r="M89" s="23" t="s">
        <v>37</v>
      </c>
      <c r="N89" s="306">
        <v>5854746.54</v>
      </c>
      <c r="O89" s="306">
        <v>5854746.54</v>
      </c>
      <c r="P89" s="306"/>
      <c r="Q89" s="182"/>
      <c r="R89" s="182"/>
      <c r="S89" s="182"/>
    </row>
    <row r="90" spans="1:19" ht="195" x14ac:dyDescent="0.25">
      <c r="A90" s="328" t="s">
        <v>484</v>
      </c>
      <c r="B90" s="332" t="s">
        <v>148</v>
      </c>
      <c r="C90" s="328">
        <v>906</v>
      </c>
      <c r="D90" s="333" t="s">
        <v>149</v>
      </c>
      <c r="E90" s="75" t="s">
        <v>20</v>
      </c>
      <c r="F90" s="75" t="s">
        <v>150</v>
      </c>
      <c r="G90" s="75" t="s">
        <v>85</v>
      </c>
      <c r="H90" s="75" t="s">
        <v>151</v>
      </c>
      <c r="I90" s="268" t="s">
        <v>113</v>
      </c>
      <c r="J90" s="268" t="s">
        <v>152</v>
      </c>
      <c r="K90" s="272" t="s">
        <v>574</v>
      </c>
      <c r="L90" s="268"/>
      <c r="M90" s="268" t="s">
        <v>371</v>
      </c>
      <c r="N90" s="311">
        <f>895755021.08-N107-N113</f>
        <v>820686328.44000006</v>
      </c>
      <c r="O90" s="311">
        <f>846516948.47-O107-O113</f>
        <v>771700273.79999995</v>
      </c>
      <c r="P90" s="311">
        <v>866133572.71000004</v>
      </c>
      <c r="Q90" s="311">
        <v>772260469.39999998</v>
      </c>
      <c r="R90" s="311">
        <v>838278412.25</v>
      </c>
      <c r="S90" s="311">
        <f>677929032.67-S113</f>
        <v>673642432.66999996</v>
      </c>
    </row>
    <row r="91" spans="1:19" ht="60" x14ac:dyDescent="0.25">
      <c r="A91" s="328"/>
      <c r="B91" s="332"/>
      <c r="C91" s="328"/>
      <c r="D91" s="333"/>
      <c r="E91" s="9"/>
      <c r="F91" s="9"/>
      <c r="G91" s="9"/>
      <c r="H91" s="9" t="s">
        <v>153</v>
      </c>
      <c r="I91" s="9" t="s">
        <v>48</v>
      </c>
      <c r="J91" s="9" t="s">
        <v>154</v>
      </c>
      <c r="K91" s="54" t="s">
        <v>29</v>
      </c>
      <c r="L91" s="9" t="s">
        <v>155</v>
      </c>
      <c r="M91" s="9" t="s">
        <v>30</v>
      </c>
      <c r="N91" s="311"/>
      <c r="O91" s="311"/>
      <c r="P91" s="311"/>
      <c r="Q91" s="311"/>
      <c r="R91" s="311"/>
      <c r="S91" s="311"/>
    </row>
    <row r="92" spans="1:19" ht="105" x14ac:dyDescent="0.25">
      <c r="A92" s="328"/>
      <c r="B92" s="332"/>
      <c r="C92" s="328"/>
      <c r="D92" s="333"/>
      <c r="E92" s="9"/>
      <c r="F92" s="9"/>
      <c r="G92" s="9"/>
      <c r="H92" s="9"/>
      <c r="I92" s="9"/>
      <c r="J92" s="9"/>
      <c r="K92" s="54" t="s">
        <v>580</v>
      </c>
      <c r="L92" s="9"/>
      <c r="M92" s="9" t="s">
        <v>157</v>
      </c>
      <c r="N92" s="311"/>
      <c r="O92" s="311"/>
      <c r="P92" s="311"/>
      <c r="Q92" s="311"/>
      <c r="R92" s="311"/>
      <c r="S92" s="311"/>
    </row>
    <row r="93" spans="1:19" ht="195" x14ac:dyDescent="0.25">
      <c r="A93" s="328"/>
      <c r="B93" s="332"/>
      <c r="C93" s="328"/>
      <c r="D93" s="333"/>
      <c r="E93" s="9"/>
      <c r="F93" s="9"/>
      <c r="G93" s="9"/>
      <c r="H93" s="9"/>
      <c r="I93" s="9"/>
      <c r="J93" s="9"/>
      <c r="K93" s="54" t="s">
        <v>581</v>
      </c>
      <c r="L93" s="9"/>
      <c r="M93" s="9" t="s">
        <v>156</v>
      </c>
      <c r="N93" s="311"/>
      <c r="O93" s="311"/>
      <c r="P93" s="311"/>
      <c r="Q93" s="311"/>
      <c r="R93" s="311"/>
      <c r="S93" s="311"/>
    </row>
    <row r="94" spans="1:19" ht="270" x14ac:dyDescent="0.25">
      <c r="A94" s="328"/>
      <c r="B94" s="332"/>
      <c r="C94" s="328"/>
      <c r="D94" s="333"/>
      <c r="E94" s="9"/>
      <c r="F94" s="9"/>
      <c r="G94" s="9"/>
      <c r="H94" s="9"/>
      <c r="I94" s="9"/>
      <c r="J94" s="9"/>
      <c r="K94" s="54" t="s">
        <v>582</v>
      </c>
      <c r="L94" s="9"/>
      <c r="M94" s="9" t="s">
        <v>321</v>
      </c>
      <c r="N94" s="311"/>
      <c r="O94" s="311"/>
      <c r="P94" s="311"/>
      <c r="Q94" s="311"/>
      <c r="R94" s="311"/>
      <c r="S94" s="311"/>
    </row>
    <row r="95" spans="1:19" ht="120" x14ac:dyDescent="0.25">
      <c r="A95" s="115"/>
      <c r="B95" s="113"/>
      <c r="C95" s="115"/>
      <c r="D95" s="114"/>
      <c r="E95" s="9"/>
      <c r="F95" s="9"/>
      <c r="G95" s="9"/>
      <c r="H95" s="9"/>
      <c r="I95" s="9"/>
      <c r="J95" s="9"/>
      <c r="K95" s="124" t="s">
        <v>583</v>
      </c>
      <c r="L95" s="23"/>
      <c r="M95" s="23" t="s">
        <v>393</v>
      </c>
      <c r="N95" s="168"/>
      <c r="O95" s="168"/>
      <c r="P95" s="168"/>
      <c r="Q95" s="168"/>
      <c r="R95" s="168"/>
      <c r="S95" s="168"/>
    </row>
    <row r="96" spans="1:19" ht="165" x14ac:dyDescent="0.25">
      <c r="A96" s="117"/>
      <c r="B96" s="119"/>
      <c r="C96" s="117"/>
      <c r="D96" s="118"/>
      <c r="E96" s="9"/>
      <c r="F96" s="9"/>
      <c r="G96" s="9"/>
      <c r="H96" s="9"/>
      <c r="I96" s="9"/>
      <c r="J96" s="9"/>
      <c r="K96" s="124" t="s">
        <v>575</v>
      </c>
      <c r="L96" s="23"/>
      <c r="M96" s="23" t="s">
        <v>394</v>
      </c>
      <c r="N96" s="168"/>
      <c r="O96" s="168"/>
      <c r="P96" s="168"/>
      <c r="Q96" s="168"/>
      <c r="R96" s="168"/>
      <c r="S96" s="168"/>
    </row>
    <row r="97" spans="1:19" ht="270" x14ac:dyDescent="0.25">
      <c r="A97" s="120"/>
      <c r="B97" s="122"/>
      <c r="C97" s="120"/>
      <c r="D97" s="121"/>
      <c r="E97" s="9"/>
      <c r="F97" s="9"/>
      <c r="G97" s="9"/>
      <c r="H97" s="9"/>
      <c r="I97" s="9"/>
      <c r="J97" s="9"/>
      <c r="K97" s="124" t="s">
        <v>576</v>
      </c>
      <c r="L97" s="124"/>
      <c r="M97" s="124" t="s">
        <v>396</v>
      </c>
      <c r="N97" s="168"/>
      <c r="O97" s="168"/>
      <c r="P97" s="168"/>
      <c r="Q97" s="168"/>
      <c r="R97" s="168"/>
      <c r="S97" s="168"/>
    </row>
    <row r="98" spans="1:19" ht="150" x14ac:dyDescent="0.25">
      <c r="A98" s="215"/>
      <c r="B98" s="224"/>
      <c r="C98" s="120"/>
      <c r="D98" s="121"/>
      <c r="E98" s="9"/>
      <c r="F98" s="9"/>
      <c r="G98" s="9"/>
      <c r="H98" s="9"/>
      <c r="I98" s="9"/>
      <c r="J98" s="9"/>
      <c r="K98" s="124" t="s">
        <v>577</v>
      </c>
      <c r="L98" s="123"/>
      <c r="M98" s="9" t="s">
        <v>395</v>
      </c>
      <c r="N98" s="168"/>
      <c r="O98" s="168"/>
      <c r="P98" s="168"/>
      <c r="Q98" s="168"/>
      <c r="R98" s="168"/>
      <c r="S98" s="168"/>
    </row>
    <row r="99" spans="1:19" ht="180" x14ac:dyDescent="0.25">
      <c r="A99" s="215"/>
      <c r="B99" s="216"/>
      <c r="C99" s="207"/>
      <c r="D99" s="98"/>
      <c r="E99" s="9"/>
      <c r="F99" s="9"/>
      <c r="G99" s="9"/>
      <c r="H99" s="9"/>
      <c r="I99" s="9"/>
      <c r="J99" s="9"/>
      <c r="K99" s="54" t="s">
        <v>578</v>
      </c>
      <c r="L99" s="9"/>
      <c r="M99" s="9" t="s">
        <v>375</v>
      </c>
      <c r="N99" s="170"/>
      <c r="O99" s="170"/>
      <c r="P99" s="170"/>
      <c r="Q99" s="170"/>
      <c r="R99" s="170"/>
      <c r="S99" s="170"/>
    </row>
    <row r="100" spans="1:19" ht="360" x14ac:dyDescent="0.25">
      <c r="A100" s="328"/>
      <c r="B100" s="216"/>
      <c r="C100" s="207"/>
      <c r="D100" s="136"/>
      <c r="E100" s="9"/>
      <c r="F100" s="9"/>
      <c r="G100" s="9"/>
      <c r="H100" s="9"/>
      <c r="I100" s="9"/>
      <c r="J100" s="9"/>
      <c r="K100" s="282" t="s">
        <v>406</v>
      </c>
      <c r="L100" s="282"/>
      <c r="M100" s="282" t="s">
        <v>579</v>
      </c>
      <c r="N100" s="170"/>
      <c r="O100" s="170"/>
      <c r="P100" s="170"/>
      <c r="Q100" s="170"/>
      <c r="R100" s="170"/>
      <c r="S100" s="170"/>
    </row>
    <row r="101" spans="1:19" ht="105" x14ac:dyDescent="0.25">
      <c r="A101" s="328"/>
      <c r="B101" s="227"/>
      <c r="C101" s="223"/>
      <c r="D101" s="228"/>
      <c r="E101" s="61"/>
      <c r="F101" s="9"/>
      <c r="G101" s="9"/>
      <c r="H101" s="9"/>
      <c r="I101" s="9"/>
      <c r="J101" s="9"/>
      <c r="K101" s="54" t="s">
        <v>505</v>
      </c>
      <c r="L101" s="9"/>
      <c r="M101" s="9" t="s">
        <v>506</v>
      </c>
      <c r="N101" s="226"/>
      <c r="O101" s="226"/>
      <c r="P101" s="226"/>
      <c r="Q101" s="226"/>
      <c r="R101" s="226"/>
      <c r="S101" s="226"/>
    </row>
    <row r="102" spans="1:19" ht="195" x14ac:dyDescent="0.25">
      <c r="A102" s="328"/>
      <c r="B102" s="254"/>
      <c r="C102" s="223"/>
      <c r="D102" s="253"/>
      <c r="E102" s="61"/>
      <c r="F102" s="9"/>
      <c r="G102" s="9"/>
      <c r="H102" s="9"/>
      <c r="I102" s="9"/>
      <c r="J102" s="9"/>
      <c r="K102" s="54" t="s">
        <v>533</v>
      </c>
      <c r="L102" s="54"/>
      <c r="M102" s="9" t="s">
        <v>534</v>
      </c>
      <c r="N102" s="252"/>
      <c r="O102" s="252"/>
      <c r="P102" s="252"/>
      <c r="Q102" s="252"/>
      <c r="R102" s="252"/>
      <c r="S102" s="252"/>
    </row>
    <row r="103" spans="1:19" ht="168.75" customHeight="1" x14ac:dyDescent="0.25">
      <c r="A103" s="328"/>
      <c r="B103" s="254"/>
      <c r="C103" s="223"/>
      <c r="D103" s="253"/>
      <c r="E103" s="61"/>
      <c r="F103" s="9"/>
      <c r="G103" s="9"/>
      <c r="H103" s="9"/>
      <c r="I103" s="9"/>
      <c r="J103" s="9"/>
      <c r="K103" s="54" t="s">
        <v>535</v>
      </c>
      <c r="L103" s="54"/>
      <c r="M103" s="9" t="s">
        <v>534</v>
      </c>
      <c r="N103" s="252"/>
      <c r="O103" s="252"/>
      <c r="P103" s="252"/>
      <c r="Q103" s="252"/>
      <c r="R103" s="252"/>
      <c r="S103" s="252"/>
    </row>
    <row r="104" spans="1:19" ht="195" x14ac:dyDescent="0.25">
      <c r="A104" s="328"/>
      <c r="B104" s="254"/>
      <c r="C104" s="223"/>
      <c r="D104" s="253"/>
      <c r="E104" s="61"/>
      <c r="F104" s="9"/>
      <c r="G104" s="9"/>
      <c r="H104" s="9"/>
      <c r="I104" s="9"/>
      <c r="J104" s="9"/>
      <c r="K104" s="54" t="s">
        <v>536</v>
      </c>
      <c r="L104" s="54"/>
      <c r="M104" s="54" t="s">
        <v>560</v>
      </c>
      <c r="N104" s="252"/>
      <c r="O104" s="252"/>
      <c r="P104" s="252"/>
      <c r="Q104" s="252"/>
      <c r="R104" s="252"/>
      <c r="S104" s="252"/>
    </row>
    <row r="105" spans="1:19" ht="180" x14ac:dyDescent="0.25">
      <c r="A105" s="328"/>
      <c r="B105" s="254"/>
      <c r="C105" s="223"/>
      <c r="D105" s="253"/>
      <c r="E105" s="61"/>
      <c r="F105" s="9"/>
      <c r="G105" s="9"/>
      <c r="H105" s="9"/>
      <c r="I105" s="9"/>
      <c r="J105" s="9"/>
      <c r="K105" s="54" t="s">
        <v>537</v>
      </c>
      <c r="L105" s="255"/>
      <c r="M105" s="54" t="s">
        <v>560</v>
      </c>
      <c r="N105" s="252"/>
      <c r="O105" s="252"/>
      <c r="P105" s="252"/>
      <c r="Q105" s="252"/>
      <c r="R105" s="252"/>
      <c r="S105" s="252"/>
    </row>
    <row r="106" spans="1:19" ht="195" x14ac:dyDescent="0.25">
      <c r="A106" s="329"/>
      <c r="B106" s="213"/>
      <c r="C106" s="223"/>
      <c r="D106" s="217"/>
      <c r="E106" s="61"/>
      <c r="F106" s="9"/>
      <c r="G106" s="9"/>
      <c r="H106" s="9"/>
      <c r="I106" s="9"/>
      <c r="J106" s="9"/>
      <c r="K106" s="54" t="s">
        <v>498</v>
      </c>
      <c r="L106" s="9"/>
      <c r="M106" s="9" t="s">
        <v>507</v>
      </c>
      <c r="N106" s="214"/>
      <c r="O106" s="214"/>
      <c r="P106" s="214"/>
      <c r="Q106" s="214"/>
      <c r="R106" s="214"/>
      <c r="S106" s="214"/>
    </row>
    <row r="107" spans="1:19" ht="218.25" customHeight="1" x14ac:dyDescent="0.25">
      <c r="A107" s="218">
        <v>2527</v>
      </c>
      <c r="B107" s="370" t="s">
        <v>426</v>
      </c>
      <c r="C107" s="91">
        <v>906</v>
      </c>
      <c r="D107" s="152" t="s">
        <v>181</v>
      </c>
      <c r="E107" s="61" t="s">
        <v>20</v>
      </c>
      <c r="F107" s="9" t="s">
        <v>312</v>
      </c>
      <c r="G107" s="9" t="s">
        <v>21</v>
      </c>
      <c r="H107" s="9"/>
      <c r="I107" s="9"/>
      <c r="J107" s="9"/>
      <c r="K107" s="54" t="s">
        <v>29</v>
      </c>
      <c r="L107" s="9"/>
      <c r="M107" s="9" t="s">
        <v>30</v>
      </c>
      <c r="N107" s="309">
        <v>70086492.640000001</v>
      </c>
      <c r="O107" s="309">
        <v>69970624.329999998</v>
      </c>
      <c r="P107" s="309">
        <v>73212249</v>
      </c>
      <c r="Q107" s="309">
        <v>70956830</v>
      </c>
      <c r="R107" s="309">
        <v>70956830</v>
      </c>
      <c r="S107" s="309">
        <v>70956830</v>
      </c>
    </row>
    <row r="108" spans="1:19" ht="138.75" customHeight="1" x14ac:dyDescent="0.25">
      <c r="A108" s="154"/>
      <c r="B108" s="371"/>
      <c r="C108" s="77"/>
      <c r="D108" s="153"/>
      <c r="E108" s="61"/>
      <c r="F108" s="9"/>
      <c r="G108" s="9"/>
      <c r="H108" s="9"/>
      <c r="I108" s="9"/>
      <c r="J108" s="9"/>
      <c r="K108" s="54" t="s">
        <v>357</v>
      </c>
      <c r="L108" s="9"/>
      <c r="M108" s="9" t="s">
        <v>358</v>
      </c>
      <c r="N108" s="310"/>
      <c r="O108" s="310"/>
      <c r="P108" s="310"/>
      <c r="Q108" s="310"/>
      <c r="R108" s="310"/>
      <c r="S108" s="310"/>
    </row>
    <row r="109" spans="1:19" s="19" customFormat="1" ht="114" x14ac:dyDescent="0.2">
      <c r="A109" s="14">
        <v>2600</v>
      </c>
      <c r="B109" s="155" t="s">
        <v>428</v>
      </c>
      <c r="C109" s="58"/>
      <c r="D109" s="59"/>
      <c r="E109" s="15"/>
      <c r="F109" s="15"/>
      <c r="G109" s="15"/>
      <c r="H109" s="15"/>
      <c r="I109" s="15"/>
      <c r="J109" s="15"/>
      <c r="K109" s="196"/>
      <c r="L109" s="15"/>
      <c r="M109" s="15"/>
      <c r="N109" s="172">
        <f t="shared" ref="N109:O109" si="17">N110+N112+N113</f>
        <v>99943877.689999998</v>
      </c>
      <c r="O109" s="172">
        <f t="shared" si="17"/>
        <v>97501159.239999995</v>
      </c>
      <c r="P109" s="172">
        <f>P110+P112+P113</f>
        <v>86664504.950000003</v>
      </c>
      <c r="Q109" s="172">
        <f t="shared" ref="Q109:S109" si="18">Q110+Q112+Q113</f>
        <v>80305939.599999994</v>
      </c>
      <c r="R109" s="172">
        <f t="shared" si="18"/>
        <v>78032866.520000011</v>
      </c>
      <c r="S109" s="172">
        <f t="shared" si="18"/>
        <v>44031476.329999998</v>
      </c>
    </row>
    <row r="110" spans="1:19" ht="90" x14ac:dyDescent="0.25">
      <c r="A110" s="60" t="s">
        <v>418</v>
      </c>
      <c r="B110" s="78" t="s">
        <v>481</v>
      </c>
      <c r="C110" s="76">
        <v>906</v>
      </c>
      <c r="D110" s="73" t="s">
        <v>181</v>
      </c>
      <c r="E110" s="61" t="s">
        <v>20</v>
      </c>
      <c r="F110" s="9" t="s">
        <v>311</v>
      </c>
      <c r="G110" s="9" t="s">
        <v>21</v>
      </c>
      <c r="H110" s="9" t="s">
        <v>24</v>
      </c>
      <c r="I110" s="9" t="s">
        <v>48</v>
      </c>
      <c r="J110" s="9" t="s">
        <v>26</v>
      </c>
      <c r="K110" s="54" t="s">
        <v>29</v>
      </c>
      <c r="L110" s="9"/>
      <c r="M110" s="9" t="s">
        <v>30</v>
      </c>
      <c r="N110" s="309">
        <v>10494378.380000001</v>
      </c>
      <c r="O110" s="309">
        <v>10254999.359999999</v>
      </c>
      <c r="P110" s="309">
        <v>13731959</v>
      </c>
      <c r="Q110" s="309">
        <v>12828749</v>
      </c>
      <c r="R110" s="309">
        <v>12828749</v>
      </c>
      <c r="S110" s="309">
        <v>12828749</v>
      </c>
    </row>
    <row r="111" spans="1:19" ht="285" x14ac:dyDescent="0.25">
      <c r="A111" s="69"/>
      <c r="B111" s="79"/>
      <c r="C111" s="70"/>
      <c r="D111" s="74"/>
      <c r="E111" s="61" t="s">
        <v>22</v>
      </c>
      <c r="F111" s="9" t="s">
        <v>48</v>
      </c>
      <c r="G111" s="9" t="s">
        <v>23</v>
      </c>
      <c r="H111" s="9" t="s">
        <v>27</v>
      </c>
      <c r="I111" s="10" t="s">
        <v>48</v>
      </c>
      <c r="J111" s="9" t="s">
        <v>28</v>
      </c>
      <c r="K111" s="54" t="s">
        <v>580</v>
      </c>
      <c r="L111" s="4"/>
      <c r="M111" s="9" t="s">
        <v>157</v>
      </c>
      <c r="N111" s="310"/>
      <c r="O111" s="310"/>
      <c r="P111" s="310"/>
      <c r="Q111" s="310"/>
      <c r="R111" s="310"/>
      <c r="S111" s="310"/>
    </row>
    <row r="112" spans="1:19" ht="409.5" x14ac:dyDescent="0.25">
      <c r="A112" s="11">
        <v>2624</v>
      </c>
      <c r="B112" s="9" t="s">
        <v>485</v>
      </c>
      <c r="C112" s="11">
        <v>906</v>
      </c>
      <c r="D112" s="17" t="s">
        <v>158</v>
      </c>
      <c r="E112" s="54" t="s">
        <v>544</v>
      </c>
      <c r="F112" s="54" t="s">
        <v>553</v>
      </c>
      <c r="G112" s="54" t="s">
        <v>547</v>
      </c>
      <c r="H112" s="9" t="s">
        <v>398</v>
      </c>
      <c r="I112" s="9" t="s">
        <v>194</v>
      </c>
      <c r="J112" s="9" t="s">
        <v>399</v>
      </c>
      <c r="K112" s="203" t="s">
        <v>400</v>
      </c>
      <c r="L112" s="4"/>
      <c r="M112" s="116" t="s">
        <v>401</v>
      </c>
      <c r="N112" s="169">
        <f>58415520.53+26051778.78</f>
        <v>84467299.310000002</v>
      </c>
      <c r="O112" s="169">
        <f>56889124.07+25510985.47</f>
        <v>82400109.539999992</v>
      </c>
      <c r="P112" s="169">
        <v>68645945.950000003</v>
      </c>
      <c r="Q112" s="169">
        <v>63190590.600000001</v>
      </c>
      <c r="R112" s="169">
        <v>60917517.520000003</v>
      </c>
      <c r="S112" s="169">
        <v>26916127.329999998</v>
      </c>
    </row>
    <row r="113" spans="1:19" ht="195" x14ac:dyDescent="0.25">
      <c r="A113" s="11">
        <v>2625</v>
      </c>
      <c r="B113" s="9" t="s">
        <v>601</v>
      </c>
      <c r="C113" s="11">
        <v>906</v>
      </c>
      <c r="D113" s="17" t="s">
        <v>600</v>
      </c>
      <c r="E113" s="54" t="s">
        <v>544</v>
      </c>
      <c r="F113" s="54" t="s">
        <v>603</v>
      </c>
      <c r="G113" s="54" t="s">
        <v>547</v>
      </c>
      <c r="H113" s="9" t="s">
        <v>604</v>
      </c>
      <c r="I113" s="9"/>
      <c r="J113" s="9" t="s">
        <v>506</v>
      </c>
      <c r="K113" s="203" t="s">
        <v>602</v>
      </c>
      <c r="L113" s="4"/>
      <c r="M113" s="116" t="s">
        <v>509</v>
      </c>
      <c r="N113" s="296">
        <v>4982200</v>
      </c>
      <c r="O113" s="296">
        <v>4846050.34</v>
      </c>
      <c r="P113" s="296">
        <v>4286600</v>
      </c>
      <c r="Q113" s="296">
        <v>4286600</v>
      </c>
      <c r="R113" s="296">
        <v>4286600</v>
      </c>
      <c r="S113" s="296">
        <v>4286600</v>
      </c>
    </row>
    <row r="114" spans="1:19" s="19" customFormat="1" ht="42.75" x14ac:dyDescent="0.2">
      <c r="A114" s="14">
        <v>3200</v>
      </c>
      <c r="B114" s="15" t="s">
        <v>476</v>
      </c>
      <c r="C114" s="20"/>
      <c r="D114" s="22"/>
      <c r="E114" s="15"/>
      <c r="F114" s="15"/>
      <c r="G114" s="15"/>
      <c r="H114" s="15"/>
      <c r="I114" s="15"/>
      <c r="J114" s="15"/>
      <c r="K114" s="196"/>
      <c r="L114" s="15"/>
      <c r="M114" s="15"/>
      <c r="N114" s="172">
        <f t="shared" ref="N114:S114" si="19">SUM(N115:N120)</f>
        <v>46309900</v>
      </c>
      <c r="O114" s="172">
        <f t="shared" si="19"/>
        <v>45752924.030000001</v>
      </c>
      <c r="P114" s="172">
        <f t="shared" si="19"/>
        <v>57133700</v>
      </c>
      <c r="Q114" s="172">
        <f t="shared" si="19"/>
        <v>54612400</v>
      </c>
      <c r="R114" s="172">
        <f t="shared" si="19"/>
        <v>54612400</v>
      </c>
      <c r="S114" s="172">
        <f t="shared" si="19"/>
        <v>54612400</v>
      </c>
    </row>
    <row r="115" spans="1:19" ht="255" x14ac:dyDescent="0.25">
      <c r="A115" s="11">
        <v>3237</v>
      </c>
      <c r="B115" s="9" t="s">
        <v>163</v>
      </c>
      <c r="C115" s="11">
        <v>906</v>
      </c>
      <c r="D115" s="17" t="s">
        <v>158</v>
      </c>
      <c r="E115" s="54" t="s">
        <v>544</v>
      </c>
      <c r="F115" s="54" t="s">
        <v>562</v>
      </c>
      <c r="G115" s="54" t="s">
        <v>547</v>
      </c>
      <c r="H115" s="9" t="s">
        <v>164</v>
      </c>
      <c r="I115" s="9" t="s">
        <v>165</v>
      </c>
      <c r="J115" s="9" t="s">
        <v>166</v>
      </c>
      <c r="K115" s="54" t="s">
        <v>167</v>
      </c>
      <c r="L115" s="9"/>
      <c r="M115" s="9" t="s">
        <v>168</v>
      </c>
      <c r="N115" s="173">
        <v>4041200</v>
      </c>
      <c r="O115" s="173">
        <v>3914133.23</v>
      </c>
      <c r="P115" s="173">
        <v>5882200</v>
      </c>
      <c r="Q115" s="173">
        <v>5882200</v>
      </c>
      <c r="R115" s="173">
        <v>5882200</v>
      </c>
      <c r="S115" s="173">
        <v>5882200</v>
      </c>
    </row>
    <row r="116" spans="1:19" ht="90" x14ac:dyDescent="0.25">
      <c r="A116" s="11"/>
      <c r="B116" s="9"/>
      <c r="C116" s="11"/>
      <c r="D116" s="17"/>
      <c r="E116" s="9"/>
      <c r="F116" s="9"/>
      <c r="G116" s="9"/>
      <c r="H116" s="9"/>
      <c r="I116" s="9"/>
      <c r="J116" s="9"/>
      <c r="K116" s="198" t="s">
        <v>372</v>
      </c>
      <c r="L116" s="4"/>
      <c r="M116" s="8" t="s">
        <v>373</v>
      </c>
      <c r="N116" s="169"/>
      <c r="O116" s="169"/>
      <c r="P116" s="169"/>
      <c r="Q116" s="169"/>
      <c r="R116" s="169"/>
      <c r="S116" s="169"/>
    </row>
    <row r="117" spans="1:19" ht="405" x14ac:dyDescent="0.25">
      <c r="A117" s="11">
        <v>3236</v>
      </c>
      <c r="B117" s="9" t="s">
        <v>169</v>
      </c>
      <c r="C117" s="11">
        <v>906</v>
      </c>
      <c r="D117" s="17" t="s">
        <v>178</v>
      </c>
      <c r="E117" s="54" t="s">
        <v>544</v>
      </c>
      <c r="F117" s="54" t="s">
        <v>554</v>
      </c>
      <c r="G117" s="54" t="s">
        <v>547</v>
      </c>
      <c r="H117" s="9" t="s">
        <v>170</v>
      </c>
      <c r="I117" s="9" t="s">
        <v>165</v>
      </c>
      <c r="J117" s="9" t="s">
        <v>171</v>
      </c>
      <c r="K117" s="54" t="s">
        <v>172</v>
      </c>
      <c r="L117" s="9"/>
      <c r="M117" s="9" t="s">
        <v>173</v>
      </c>
      <c r="N117" s="170">
        <v>1717000</v>
      </c>
      <c r="O117" s="170">
        <v>1717000</v>
      </c>
      <c r="P117" s="170">
        <v>3189000</v>
      </c>
      <c r="Q117" s="170">
        <v>3189000</v>
      </c>
      <c r="R117" s="170">
        <v>3189000</v>
      </c>
      <c r="S117" s="170">
        <v>3189000</v>
      </c>
    </row>
    <row r="118" spans="1:19" ht="270" x14ac:dyDescent="0.25">
      <c r="A118" s="130">
        <v>3237</v>
      </c>
      <c r="B118" s="129" t="s">
        <v>174</v>
      </c>
      <c r="C118" s="130">
        <v>906</v>
      </c>
      <c r="D118" s="131" t="s">
        <v>117</v>
      </c>
      <c r="E118" s="54" t="s">
        <v>544</v>
      </c>
      <c r="F118" s="54" t="s">
        <v>555</v>
      </c>
      <c r="G118" s="54" t="s">
        <v>547</v>
      </c>
      <c r="H118" s="129" t="s">
        <v>175</v>
      </c>
      <c r="I118" s="129" t="s">
        <v>48</v>
      </c>
      <c r="J118" s="129" t="s">
        <v>176</v>
      </c>
      <c r="K118" s="54" t="s">
        <v>564</v>
      </c>
      <c r="L118" s="9"/>
      <c r="M118" s="9" t="s">
        <v>177</v>
      </c>
      <c r="N118" s="169">
        <v>4250000</v>
      </c>
      <c r="O118" s="169">
        <v>4022966.03</v>
      </c>
      <c r="P118" s="277">
        <v>5450600</v>
      </c>
      <c r="Q118" s="277">
        <v>5450600</v>
      </c>
      <c r="R118" s="277">
        <v>5450600</v>
      </c>
      <c r="S118" s="277">
        <v>5450600</v>
      </c>
    </row>
    <row r="119" spans="1:19" ht="210" x14ac:dyDescent="0.25">
      <c r="A119" s="11">
        <v>3237</v>
      </c>
      <c r="B119" s="9" t="s">
        <v>354</v>
      </c>
      <c r="C119" s="11">
        <v>906</v>
      </c>
      <c r="D119" s="17" t="s">
        <v>264</v>
      </c>
      <c r="E119" s="54" t="s">
        <v>544</v>
      </c>
      <c r="F119" s="54" t="s">
        <v>561</v>
      </c>
      <c r="G119" s="54" t="s">
        <v>547</v>
      </c>
      <c r="H119" s="11"/>
      <c r="I119" s="11"/>
      <c r="J119" s="11"/>
      <c r="K119" s="54" t="s">
        <v>376</v>
      </c>
      <c r="L119" s="9"/>
      <c r="M119" s="9" t="s">
        <v>377</v>
      </c>
      <c r="N119" s="173">
        <v>20303100</v>
      </c>
      <c r="O119" s="173">
        <v>20156025.609999999</v>
      </c>
      <c r="P119" s="173">
        <v>24045600</v>
      </c>
      <c r="Q119" s="173">
        <v>24045600</v>
      </c>
      <c r="R119" s="173">
        <v>24045600</v>
      </c>
      <c r="S119" s="173">
        <v>24045600</v>
      </c>
    </row>
    <row r="120" spans="1:19" ht="210" x14ac:dyDescent="0.25">
      <c r="A120" s="11">
        <v>3237</v>
      </c>
      <c r="B120" s="9" t="s">
        <v>337</v>
      </c>
      <c r="C120" s="11">
        <v>906</v>
      </c>
      <c r="D120" s="17" t="s">
        <v>181</v>
      </c>
      <c r="E120" s="54" t="s">
        <v>544</v>
      </c>
      <c r="F120" s="54" t="s">
        <v>551</v>
      </c>
      <c r="G120" s="54" t="s">
        <v>547</v>
      </c>
      <c r="H120" s="9" t="s">
        <v>182</v>
      </c>
      <c r="I120" s="9" t="s">
        <v>48</v>
      </c>
      <c r="J120" s="9" t="s">
        <v>28</v>
      </c>
      <c r="K120" s="54" t="s">
        <v>183</v>
      </c>
      <c r="L120" s="9"/>
      <c r="M120" s="9" t="s">
        <v>184</v>
      </c>
      <c r="N120" s="173">
        <v>15998600</v>
      </c>
      <c r="O120" s="173">
        <v>15942799.16</v>
      </c>
      <c r="P120" s="173">
        <v>18566300</v>
      </c>
      <c r="Q120" s="173">
        <v>16045000</v>
      </c>
      <c r="R120" s="173">
        <v>16045000</v>
      </c>
      <c r="S120" s="173">
        <v>16045000</v>
      </c>
    </row>
    <row r="121" spans="1:19" s="19" customFormat="1" ht="77.25" customHeight="1" x14ac:dyDescent="0.2">
      <c r="A121" s="65">
        <v>3400</v>
      </c>
      <c r="B121" s="24" t="s">
        <v>486</v>
      </c>
      <c r="C121" s="65"/>
      <c r="D121" s="59"/>
      <c r="E121" s="15"/>
      <c r="F121" s="15"/>
      <c r="G121" s="15"/>
      <c r="H121" s="24"/>
      <c r="I121" s="24"/>
      <c r="J121" s="24"/>
      <c r="K121" s="196"/>
      <c r="L121" s="15"/>
      <c r="M121" s="15"/>
      <c r="N121" s="180">
        <f t="shared" ref="N121:S121" si="20">N122+N124+N126</f>
        <v>1335852100</v>
      </c>
      <c r="O121" s="180">
        <f t="shared" si="20"/>
        <v>1335852100</v>
      </c>
      <c r="P121" s="180">
        <f t="shared" si="20"/>
        <v>1426643800</v>
      </c>
      <c r="Q121" s="180">
        <f t="shared" si="20"/>
        <v>1307785600</v>
      </c>
      <c r="R121" s="180">
        <f t="shared" si="20"/>
        <v>1307785600</v>
      </c>
      <c r="S121" s="180">
        <f t="shared" si="20"/>
        <v>1307785600</v>
      </c>
    </row>
    <row r="122" spans="1:19" ht="255" x14ac:dyDescent="0.25">
      <c r="A122" s="327">
        <v>3401</v>
      </c>
      <c r="B122" s="307" t="s">
        <v>424</v>
      </c>
      <c r="C122" s="327">
        <v>906</v>
      </c>
      <c r="D122" s="330" t="s">
        <v>158</v>
      </c>
      <c r="E122" s="54" t="s">
        <v>544</v>
      </c>
      <c r="F122" s="54" t="s">
        <v>555</v>
      </c>
      <c r="G122" s="54" t="s">
        <v>547</v>
      </c>
      <c r="H122" s="307"/>
      <c r="I122" s="307"/>
      <c r="J122" s="307"/>
      <c r="K122" s="54" t="s">
        <v>162</v>
      </c>
      <c r="L122" s="9"/>
      <c r="M122" s="9" t="s">
        <v>81</v>
      </c>
      <c r="N122" s="309">
        <f>137985500+593010500</f>
        <v>730996000</v>
      </c>
      <c r="O122" s="309">
        <f>593010500+137985500</f>
        <v>730996000</v>
      </c>
      <c r="P122" s="309">
        <f>153423100+616129000</f>
        <v>769552100</v>
      </c>
      <c r="Q122" s="309">
        <f>140187600+556408800</f>
        <v>696596400</v>
      </c>
      <c r="R122" s="309">
        <f>140187600+556408800</f>
        <v>696596400</v>
      </c>
      <c r="S122" s="309">
        <v>696596400</v>
      </c>
    </row>
    <row r="123" spans="1:19" ht="60" x14ac:dyDescent="0.25">
      <c r="A123" s="329"/>
      <c r="B123" s="308"/>
      <c r="C123" s="329"/>
      <c r="D123" s="331"/>
      <c r="E123" s="8" t="s">
        <v>159</v>
      </c>
      <c r="F123" s="9" t="s">
        <v>160</v>
      </c>
      <c r="G123" s="9" t="s">
        <v>161</v>
      </c>
      <c r="H123" s="308"/>
      <c r="I123" s="308"/>
      <c r="J123" s="308"/>
      <c r="K123" s="198"/>
      <c r="L123" s="4"/>
      <c r="M123" s="8"/>
      <c r="N123" s="310"/>
      <c r="O123" s="310"/>
      <c r="P123" s="310"/>
      <c r="Q123" s="310"/>
      <c r="R123" s="310"/>
      <c r="S123" s="310"/>
    </row>
    <row r="124" spans="1:19" ht="225" x14ac:dyDescent="0.25">
      <c r="A124" s="327">
        <v>3403</v>
      </c>
      <c r="B124" s="307" t="s">
        <v>423</v>
      </c>
      <c r="C124" s="327">
        <v>906</v>
      </c>
      <c r="D124" s="330" t="s">
        <v>178</v>
      </c>
      <c r="E124" s="54" t="s">
        <v>544</v>
      </c>
      <c r="F124" s="54" t="s">
        <v>555</v>
      </c>
      <c r="G124" s="54" t="s">
        <v>547</v>
      </c>
      <c r="H124" s="327"/>
      <c r="I124" s="327"/>
      <c r="J124" s="327"/>
      <c r="K124" s="54" t="s">
        <v>179</v>
      </c>
      <c r="L124" s="9"/>
      <c r="M124" s="9" t="s">
        <v>180</v>
      </c>
      <c r="N124" s="309">
        <f>176106100+394432100</f>
        <v>570538200</v>
      </c>
      <c r="O124" s="309">
        <f>394432100+176106100</f>
        <v>570538200</v>
      </c>
      <c r="P124" s="309">
        <f>211200100+409462900</f>
        <v>620663000</v>
      </c>
      <c r="Q124" s="309">
        <f>193683900+382980700</f>
        <v>576664600</v>
      </c>
      <c r="R124" s="309">
        <f>382980700+193683900</f>
        <v>576664600</v>
      </c>
      <c r="S124" s="309">
        <v>576664600</v>
      </c>
    </row>
    <row r="125" spans="1:19" ht="60" x14ac:dyDescent="0.25">
      <c r="A125" s="329"/>
      <c r="B125" s="308"/>
      <c r="C125" s="329"/>
      <c r="D125" s="331"/>
      <c r="E125" s="9" t="s">
        <v>159</v>
      </c>
      <c r="F125" s="9" t="s">
        <v>160</v>
      </c>
      <c r="G125" s="9" t="s">
        <v>161</v>
      </c>
      <c r="H125" s="329"/>
      <c r="I125" s="329"/>
      <c r="J125" s="329"/>
      <c r="K125" s="54"/>
      <c r="L125" s="9"/>
      <c r="M125" s="9"/>
      <c r="N125" s="310"/>
      <c r="O125" s="310"/>
      <c r="P125" s="310"/>
      <c r="Q125" s="310"/>
      <c r="R125" s="310"/>
      <c r="S125" s="310"/>
    </row>
    <row r="126" spans="1:19" ht="300" x14ac:dyDescent="0.25">
      <c r="A126" s="11">
        <v>3404</v>
      </c>
      <c r="B126" s="151" t="s">
        <v>425</v>
      </c>
      <c r="C126" s="11">
        <v>906</v>
      </c>
      <c r="D126" s="17" t="s">
        <v>262</v>
      </c>
      <c r="E126" s="54" t="s">
        <v>544</v>
      </c>
      <c r="F126" s="54" t="s">
        <v>555</v>
      </c>
      <c r="G126" s="54" t="s">
        <v>547</v>
      </c>
      <c r="H126" s="9"/>
      <c r="I126" s="9"/>
      <c r="J126" s="9"/>
      <c r="K126" s="54" t="s">
        <v>162</v>
      </c>
      <c r="L126" s="9"/>
      <c r="M126" s="9" t="s">
        <v>81</v>
      </c>
      <c r="N126" s="173">
        <v>34317900</v>
      </c>
      <c r="O126" s="173">
        <v>34317900</v>
      </c>
      <c r="P126" s="173">
        <v>36428700</v>
      </c>
      <c r="Q126" s="173">
        <v>34524600</v>
      </c>
      <c r="R126" s="173">
        <v>34524600</v>
      </c>
      <c r="S126" s="173">
        <v>34524600</v>
      </c>
    </row>
    <row r="127" spans="1:19" s="19" customFormat="1" ht="42.75" x14ac:dyDescent="0.2">
      <c r="A127" s="29"/>
      <c r="B127" s="28" t="s">
        <v>508</v>
      </c>
      <c r="C127" s="29">
        <v>909</v>
      </c>
      <c r="D127" s="30"/>
      <c r="E127" s="28"/>
      <c r="F127" s="28"/>
      <c r="G127" s="28"/>
      <c r="H127" s="28"/>
      <c r="I127" s="28"/>
      <c r="J127" s="28"/>
      <c r="K127" s="197"/>
      <c r="L127" s="28"/>
      <c r="M127" s="28"/>
      <c r="N127" s="178">
        <f t="shared" ref="N127:S127" si="21">N128+N155+N160</f>
        <v>891100781.58000004</v>
      </c>
      <c r="O127" s="178">
        <f t="shared" si="21"/>
        <v>844340826.07000005</v>
      </c>
      <c r="P127" s="178">
        <f t="shared" si="21"/>
        <v>745905550.59234869</v>
      </c>
      <c r="Q127" s="178">
        <f t="shared" si="21"/>
        <v>452012967.75999999</v>
      </c>
      <c r="R127" s="178">
        <f t="shared" si="21"/>
        <v>358560511.13999999</v>
      </c>
      <c r="S127" s="178">
        <f t="shared" si="21"/>
        <v>329754344</v>
      </c>
    </row>
    <row r="128" spans="1:19" s="19" customFormat="1" ht="57" x14ac:dyDescent="0.2">
      <c r="A128" s="81">
        <v>2500</v>
      </c>
      <c r="B128" s="89" t="s">
        <v>427</v>
      </c>
      <c r="C128" s="15"/>
      <c r="D128" s="22"/>
      <c r="E128" s="15"/>
      <c r="F128" s="15"/>
      <c r="G128" s="15"/>
      <c r="H128" s="15"/>
      <c r="I128" s="15"/>
      <c r="J128" s="15"/>
      <c r="K128" s="196"/>
      <c r="L128" s="15"/>
      <c r="M128" s="15"/>
      <c r="N128" s="172">
        <f>N130+N133+N137+N139+N141+N143+N145+N148+N151+N129</f>
        <v>810460892.19000006</v>
      </c>
      <c r="O128" s="172">
        <f>O130+O133+O137+O139+O141+O143+O145+O148+O151+O129</f>
        <v>776405383.94000006</v>
      </c>
      <c r="P128" s="172">
        <f>P130+P133+P137+P139+P141+P143+P145+P148+P151+P129</f>
        <v>669248741.69999993</v>
      </c>
      <c r="Q128" s="172">
        <f>Q130+Q133+Q137+Q139+Q141+Q143+Q145+Q148+Q151</f>
        <v>381229762.75999999</v>
      </c>
      <c r="R128" s="172">
        <f>R130+R133+R137+R139+R141+R143+R145+R148+R151</f>
        <v>287777306.13999999</v>
      </c>
      <c r="S128" s="172">
        <f>S130+S133+S137+S139+S141+S143+S145+S148+S151</f>
        <v>258971139</v>
      </c>
    </row>
    <row r="129" spans="1:19" s="19" customFormat="1" ht="90" x14ac:dyDescent="0.2">
      <c r="A129" s="256">
        <v>2502</v>
      </c>
      <c r="B129" s="257" t="s">
        <v>538</v>
      </c>
      <c r="C129" s="289">
        <v>909</v>
      </c>
      <c r="D129" s="288" t="s">
        <v>185</v>
      </c>
      <c r="E129" s="276" t="s">
        <v>20</v>
      </c>
      <c r="F129" s="276" t="s">
        <v>556</v>
      </c>
      <c r="G129" s="276" t="s">
        <v>85</v>
      </c>
      <c r="H129" s="24"/>
      <c r="I129" s="24"/>
      <c r="J129" s="24"/>
      <c r="K129" s="54" t="s">
        <v>29</v>
      </c>
      <c r="L129" s="9" t="s">
        <v>539</v>
      </c>
      <c r="M129" s="9" t="s">
        <v>37</v>
      </c>
      <c r="N129" s="285">
        <v>3516936.08</v>
      </c>
      <c r="O129" s="285">
        <v>3516936.08</v>
      </c>
      <c r="P129" s="251"/>
      <c r="Q129" s="180"/>
      <c r="R129" s="180"/>
      <c r="S129" s="180"/>
    </row>
    <row r="130" spans="1:19" ht="90" x14ac:dyDescent="0.25">
      <c r="A130" s="327">
        <v>2505</v>
      </c>
      <c r="B130" s="307" t="s">
        <v>188</v>
      </c>
      <c r="C130" s="327">
        <v>909</v>
      </c>
      <c r="D130" s="330" t="s">
        <v>374</v>
      </c>
      <c r="E130" s="133" t="s">
        <v>20</v>
      </c>
      <c r="F130" s="133" t="s">
        <v>190</v>
      </c>
      <c r="G130" s="133" t="s">
        <v>85</v>
      </c>
      <c r="H130" s="335" t="s">
        <v>193</v>
      </c>
      <c r="I130" s="133" t="s">
        <v>194</v>
      </c>
      <c r="J130" s="133" t="s">
        <v>195</v>
      </c>
      <c r="K130" s="54" t="s">
        <v>29</v>
      </c>
      <c r="L130" s="9" t="s">
        <v>196</v>
      </c>
      <c r="M130" s="9" t="s">
        <v>37</v>
      </c>
      <c r="N130" s="309">
        <f>500000+1078628.4+2490410.16+89000</f>
        <v>4158038.56</v>
      </c>
      <c r="O130" s="309">
        <f>500000+1078628.4+2490410.16+89000</f>
        <v>4158038.56</v>
      </c>
      <c r="P130" s="309">
        <f>500000+552606+5534223.26</f>
        <v>6586829.2599999998</v>
      </c>
      <c r="Q130" s="309">
        <v>1000000</v>
      </c>
      <c r="R130" s="309">
        <v>1000000</v>
      </c>
      <c r="S130" s="309">
        <v>1000000</v>
      </c>
    </row>
    <row r="131" spans="1:19" ht="75" x14ac:dyDescent="0.25">
      <c r="A131" s="328"/>
      <c r="B131" s="332"/>
      <c r="C131" s="328"/>
      <c r="D131" s="369"/>
      <c r="E131" s="141"/>
      <c r="F131" s="141"/>
      <c r="G131" s="141"/>
      <c r="H131" s="336"/>
      <c r="I131" s="141"/>
      <c r="J131" s="141"/>
      <c r="K131" s="54" t="s">
        <v>405</v>
      </c>
      <c r="L131" s="9"/>
      <c r="M131" s="9" t="s">
        <v>404</v>
      </c>
      <c r="N131" s="311"/>
      <c r="O131" s="311"/>
      <c r="P131" s="311"/>
      <c r="Q131" s="311"/>
      <c r="R131" s="311"/>
      <c r="S131" s="311"/>
    </row>
    <row r="132" spans="1:19" ht="90" x14ac:dyDescent="0.25">
      <c r="A132" s="328"/>
      <c r="B132" s="332"/>
      <c r="C132" s="328"/>
      <c r="D132" s="333"/>
      <c r="E132" s="134" t="s">
        <v>191</v>
      </c>
      <c r="F132" s="134" t="s">
        <v>192</v>
      </c>
      <c r="G132" s="134" t="s">
        <v>171</v>
      </c>
      <c r="H132" s="134"/>
      <c r="I132" s="134"/>
      <c r="J132" s="134"/>
      <c r="K132" s="54"/>
      <c r="L132" s="9"/>
      <c r="M132" s="9"/>
      <c r="N132" s="311"/>
      <c r="O132" s="311"/>
      <c r="P132" s="310"/>
      <c r="Q132" s="310"/>
      <c r="R132" s="311"/>
      <c r="S132" s="311"/>
    </row>
    <row r="133" spans="1:19" ht="135" x14ac:dyDescent="0.25">
      <c r="A133" s="327">
        <v>2507</v>
      </c>
      <c r="B133" s="307" t="s">
        <v>487</v>
      </c>
      <c r="C133" s="327">
        <v>909</v>
      </c>
      <c r="D133" s="330" t="s">
        <v>198</v>
      </c>
      <c r="E133" s="9" t="s">
        <v>199</v>
      </c>
      <c r="F133" s="9" t="s">
        <v>200</v>
      </c>
      <c r="G133" s="9" t="s">
        <v>201</v>
      </c>
      <c r="H133" s="9" t="s">
        <v>202</v>
      </c>
      <c r="I133" s="9" t="s">
        <v>48</v>
      </c>
      <c r="J133" s="9" t="s">
        <v>203</v>
      </c>
      <c r="K133" s="54" t="s">
        <v>29</v>
      </c>
      <c r="L133" s="9" t="s">
        <v>208</v>
      </c>
      <c r="M133" s="9" t="s">
        <v>30</v>
      </c>
      <c r="N133" s="309">
        <v>414274463.10000002</v>
      </c>
      <c r="O133" s="309">
        <v>414126038.61000001</v>
      </c>
      <c r="P133" s="309">
        <v>404024455.58999997</v>
      </c>
      <c r="Q133" s="309">
        <v>102454782</v>
      </c>
      <c r="R133" s="309">
        <v>105041661</v>
      </c>
      <c r="S133" s="309">
        <v>105041661</v>
      </c>
    </row>
    <row r="134" spans="1:19" ht="60" x14ac:dyDescent="0.25">
      <c r="A134" s="328"/>
      <c r="B134" s="332"/>
      <c r="C134" s="328"/>
      <c r="D134" s="333"/>
      <c r="E134" s="9"/>
      <c r="F134" s="9"/>
      <c r="G134" s="9"/>
      <c r="H134" s="9"/>
      <c r="I134" s="9"/>
      <c r="J134" s="9"/>
      <c r="K134" s="54" t="s">
        <v>206</v>
      </c>
      <c r="L134" s="9"/>
      <c r="M134" s="9" t="s">
        <v>207</v>
      </c>
      <c r="N134" s="311"/>
      <c r="O134" s="311"/>
      <c r="P134" s="311"/>
      <c r="Q134" s="311"/>
      <c r="R134" s="311"/>
      <c r="S134" s="311"/>
    </row>
    <row r="135" spans="1:19" ht="105" x14ac:dyDescent="0.25">
      <c r="A135" s="328"/>
      <c r="B135" s="332"/>
      <c r="C135" s="328"/>
      <c r="D135" s="333"/>
      <c r="E135" s="9"/>
      <c r="F135" s="9"/>
      <c r="G135" s="9"/>
      <c r="H135" s="9"/>
      <c r="I135" s="9"/>
      <c r="J135" s="9"/>
      <c r="K135" s="54" t="s">
        <v>204</v>
      </c>
      <c r="L135" s="9"/>
      <c r="M135" s="9" t="s">
        <v>205</v>
      </c>
      <c r="N135" s="311"/>
      <c r="O135" s="311"/>
      <c r="P135" s="311"/>
      <c r="Q135" s="311"/>
      <c r="R135" s="311"/>
      <c r="S135" s="311"/>
    </row>
    <row r="136" spans="1:19" x14ac:dyDescent="0.25">
      <c r="A136" s="188"/>
      <c r="B136" s="190"/>
      <c r="C136" s="188"/>
      <c r="D136" s="189"/>
      <c r="E136" s="9"/>
      <c r="F136" s="9"/>
      <c r="G136" s="9"/>
      <c r="H136" s="9"/>
      <c r="I136" s="9"/>
      <c r="J136" s="9"/>
      <c r="K136" s="282"/>
      <c r="L136" s="282"/>
      <c r="M136" s="282"/>
      <c r="N136" s="187"/>
      <c r="O136" s="187"/>
      <c r="P136" s="187"/>
      <c r="Q136" s="187"/>
      <c r="R136" s="187"/>
      <c r="S136" s="187"/>
    </row>
    <row r="137" spans="1:19" ht="240" x14ac:dyDescent="0.25">
      <c r="A137" s="327">
        <v>2508</v>
      </c>
      <c r="B137" s="307" t="s">
        <v>38</v>
      </c>
      <c r="C137" s="327">
        <v>909</v>
      </c>
      <c r="D137" s="330" t="s">
        <v>106</v>
      </c>
      <c r="E137" s="9" t="s">
        <v>20</v>
      </c>
      <c r="F137" s="9" t="s">
        <v>209</v>
      </c>
      <c r="G137" s="9" t="s">
        <v>85</v>
      </c>
      <c r="H137" s="9"/>
      <c r="I137" s="9"/>
      <c r="J137" s="9"/>
      <c r="K137" s="54" t="s">
        <v>565</v>
      </c>
      <c r="L137" s="9"/>
      <c r="M137" s="9" t="s">
        <v>417</v>
      </c>
      <c r="N137" s="319">
        <v>121582673.17</v>
      </c>
      <c r="O137" s="319">
        <v>92830013.780000001</v>
      </c>
      <c r="P137" s="309">
        <v>54971520</v>
      </c>
      <c r="Q137" s="309">
        <v>2689898.99</v>
      </c>
      <c r="R137" s="309">
        <v>2900000</v>
      </c>
      <c r="S137" s="309">
        <v>2900000</v>
      </c>
    </row>
    <row r="138" spans="1:19" ht="45" x14ac:dyDescent="0.25">
      <c r="A138" s="329"/>
      <c r="B138" s="308"/>
      <c r="C138" s="329"/>
      <c r="D138" s="331"/>
      <c r="E138" s="9"/>
      <c r="F138" s="9"/>
      <c r="G138" s="9"/>
      <c r="H138" s="9"/>
      <c r="I138" s="9"/>
      <c r="J138" s="9"/>
      <c r="K138" s="54" t="s">
        <v>29</v>
      </c>
      <c r="L138" s="9" t="s">
        <v>108</v>
      </c>
      <c r="M138" s="9" t="s">
        <v>30</v>
      </c>
      <c r="N138" s="320"/>
      <c r="O138" s="320"/>
      <c r="P138" s="310"/>
      <c r="Q138" s="310"/>
      <c r="R138" s="310"/>
      <c r="S138" s="310"/>
    </row>
    <row r="139" spans="1:19" ht="225" x14ac:dyDescent="0.25">
      <c r="A139" s="327">
        <v>2511</v>
      </c>
      <c r="B139" s="307" t="s">
        <v>210</v>
      </c>
      <c r="C139" s="327">
        <v>909</v>
      </c>
      <c r="D139" s="330" t="s">
        <v>211</v>
      </c>
      <c r="E139" s="9" t="s">
        <v>20</v>
      </c>
      <c r="F139" s="9" t="s">
        <v>212</v>
      </c>
      <c r="G139" s="9" t="s">
        <v>85</v>
      </c>
      <c r="H139" s="9" t="s">
        <v>213</v>
      </c>
      <c r="I139" s="9" t="s">
        <v>48</v>
      </c>
      <c r="J139" s="9" t="s">
        <v>214</v>
      </c>
      <c r="K139" s="54" t="s">
        <v>567</v>
      </c>
      <c r="L139" s="9"/>
      <c r="M139" s="9" t="s">
        <v>218</v>
      </c>
      <c r="N139" s="309">
        <v>70720720</v>
      </c>
      <c r="O139" s="309">
        <v>70464016.939999998</v>
      </c>
      <c r="P139" s="309">
        <f>74256800+20</f>
        <v>74256820</v>
      </c>
      <c r="Q139" s="309">
        <f>74256800+20</f>
        <v>74256820</v>
      </c>
      <c r="R139" s="309">
        <f>74256800+20</f>
        <v>74256820</v>
      </c>
      <c r="S139" s="309">
        <f>74256800+20</f>
        <v>74256820</v>
      </c>
    </row>
    <row r="140" spans="1:19" ht="75" x14ac:dyDescent="0.25">
      <c r="A140" s="329"/>
      <c r="B140" s="308"/>
      <c r="C140" s="329"/>
      <c r="D140" s="331"/>
      <c r="E140" s="9"/>
      <c r="F140" s="9"/>
      <c r="G140" s="9"/>
      <c r="H140" s="9" t="s">
        <v>215</v>
      </c>
      <c r="I140" s="9" t="s">
        <v>216</v>
      </c>
      <c r="J140" s="9" t="s">
        <v>217</v>
      </c>
      <c r="K140" s="54" t="s">
        <v>29</v>
      </c>
      <c r="L140" s="9" t="s">
        <v>434</v>
      </c>
      <c r="M140" s="9" t="s">
        <v>30</v>
      </c>
      <c r="N140" s="310"/>
      <c r="O140" s="310"/>
      <c r="P140" s="310"/>
      <c r="Q140" s="310"/>
      <c r="R140" s="310"/>
      <c r="S140" s="310"/>
    </row>
    <row r="141" spans="1:19" ht="45" x14ac:dyDescent="0.25">
      <c r="A141" s="327">
        <v>2529</v>
      </c>
      <c r="B141" s="307" t="s">
        <v>219</v>
      </c>
      <c r="C141" s="327">
        <v>909</v>
      </c>
      <c r="D141" s="330" t="s">
        <v>189</v>
      </c>
      <c r="E141" s="307" t="s">
        <v>20</v>
      </c>
      <c r="F141" s="327" t="s">
        <v>220</v>
      </c>
      <c r="G141" s="374" t="s">
        <v>85</v>
      </c>
      <c r="H141" s="327"/>
      <c r="I141" s="327"/>
      <c r="J141" s="327"/>
      <c r="K141" s="54" t="s">
        <v>29</v>
      </c>
      <c r="L141" s="9" t="s">
        <v>155</v>
      </c>
      <c r="M141" s="9" t="s">
        <v>30</v>
      </c>
      <c r="N141" s="309">
        <v>6569001.9199999999</v>
      </c>
      <c r="O141" s="309">
        <v>6569001.9199999999</v>
      </c>
      <c r="P141" s="309">
        <v>6000000</v>
      </c>
      <c r="Q141" s="309">
        <v>6000000</v>
      </c>
      <c r="R141" s="309">
        <v>6000000</v>
      </c>
      <c r="S141" s="309">
        <v>6000000</v>
      </c>
    </row>
    <row r="142" spans="1:19" ht="225" x14ac:dyDescent="0.25">
      <c r="A142" s="328"/>
      <c r="B142" s="332"/>
      <c r="C142" s="328"/>
      <c r="D142" s="333"/>
      <c r="E142" s="332"/>
      <c r="F142" s="328"/>
      <c r="G142" s="375"/>
      <c r="H142" s="328"/>
      <c r="I142" s="328"/>
      <c r="J142" s="328"/>
      <c r="K142" s="54" t="s">
        <v>566</v>
      </c>
      <c r="L142" s="54"/>
      <c r="M142" s="54" t="s">
        <v>218</v>
      </c>
      <c r="N142" s="311"/>
      <c r="O142" s="311"/>
      <c r="P142" s="311"/>
      <c r="Q142" s="311"/>
      <c r="R142" s="311"/>
      <c r="S142" s="311"/>
    </row>
    <row r="143" spans="1:19" ht="45" x14ac:dyDescent="0.25">
      <c r="A143" s="327">
        <v>2536</v>
      </c>
      <c r="B143" s="307" t="s">
        <v>221</v>
      </c>
      <c r="C143" s="327">
        <v>909</v>
      </c>
      <c r="D143" s="330" t="s">
        <v>230</v>
      </c>
      <c r="E143" s="307" t="s">
        <v>20</v>
      </c>
      <c r="F143" s="307" t="s">
        <v>222</v>
      </c>
      <c r="G143" s="372" t="s">
        <v>85</v>
      </c>
      <c r="H143" s="307" t="s">
        <v>223</v>
      </c>
      <c r="I143" s="307" t="s">
        <v>225</v>
      </c>
      <c r="J143" s="307" t="s">
        <v>224</v>
      </c>
      <c r="K143" s="54" t="s">
        <v>29</v>
      </c>
      <c r="L143" s="9" t="s">
        <v>228</v>
      </c>
      <c r="M143" s="9" t="s">
        <v>30</v>
      </c>
      <c r="N143" s="309">
        <v>72384</v>
      </c>
      <c r="O143" s="309">
        <v>72384</v>
      </c>
      <c r="P143" s="309">
        <v>72440</v>
      </c>
      <c r="Q143" s="309">
        <v>36000</v>
      </c>
      <c r="R143" s="309">
        <v>36000</v>
      </c>
      <c r="S143" s="309">
        <v>36000</v>
      </c>
    </row>
    <row r="144" spans="1:19" ht="120" x14ac:dyDescent="0.25">
      <c r="A144" s="328"/>
      <c r="B144" s="332"/>
      <c r="C144" s="328"/>
      <c r="D144" s="333"/>
      <c r="E144" s="332"/>
      <c r="F144" s="332"/>
      <c r="G144" s="373"/>
      <c r="H144" s="332"/>
      <c r="I144" s="332"/>
      <c r="J144" s="332"/>
      <c r="K144" s="54" t="s">
        <v>226</v>
      </c>
      <c r="L144" s="9"/>
      <c r="M144" s="9" t="s">
        <v>227</v>
      </c>
      <c r="N144" s="311"/>
      <c r="O144" s="311"/>
      <c r="P144" s="311"/>
      <c r="Q144" s="311"/>
      <c r="R144" s="311"/>
      <c r="S144" s="311"/>
    </row>
    <row r="145" spans="1:20" ht="90" x14ac:dyDescent="0.25">
      <c r="A145" s="327">
        <v>2538</v>
      </c>
      <c r="B145" s="307" t="s">
        <v>229</v>
      </c>
      <c r="C145" s="327">
        <v>909</v>
      </c>
      <c r="D145" s="330" t="s">
        <v>230</v>
      </c>
      <c r="E145" s="9" t="s">
        <v>20</v>
      </c>
      <c r="F145" s="9" t="s">
        <v>231</v>
      </c>
      <c r="G145" s="16" t="s">
        <v>85</v>
      </c>
      <c r="H145" s="9" t="s">
        <v>235</v>
      </c>
      <c r="I145" s="9" t="s">
        <v>48</v>
      </c>
      <c r="J145" s="9" t="s">
        <v>236</v>
      </c>
      <c r="K145" s="54" t="s">
        <v>29</v>
      </c>
      <c r="L145" s="9" t="s">
        <v>239</v>
      </c>
      <c r="M145" s="9" t="s">
        <v>30</v>
      </c>
      <c r="N145" s="315">
        <v>3340071.67</v>
      </c>
      <c r="O145" s="315">
        <v>3340071.67</v>
      </c>
      <c r="P145" s="319">
        <v>4500000</v>
      </c>
      <c r="Q145" s="319">
        <v>4500000</v>
      </c>
      <c r="R145" s="319">
        <v>4500000</v>
      </c>
      <c r="S145" s="319">
        <v>4500000</v>
      </c>
      <c r="T145" s="186"/>
    </row>
    <row r="146" spans="1:20" ht="120" x14ac:dyDescent="0.25">
      <c r="A146" s="328"/>
      <c r="B146" s="332"/>
      <c r="C146" s="328"/>
      <c r="D146" s="333"/>
      <c r="E146" s="9"/>
      <c r="F146" s="9"/>
      <c r="G146" s="16"/>
      <c r="H146" s="9"/>
      <c r="I146" s="9"/>
      <c r="J146" s="9"/>
      <c r="K146" s="54" t="s">
        <v>237</v>
      </c>
      <c r="L146" s="9"/>
      <c r="M146" s="9" t="s">
        <v>238</v>
      </c>
      <c r="N146" s="337"/>
      <c r="O146" s="337"/>
      <c r="P146" s="321"/>
      <c r="Q146" s="321"/>
      <c r="R146" s="321"/>
      <c r="S146" s="321"/>
      <c r="T146" s="186"/>
    </row>
    <row r="147" spans="1:20" ht="90" x14ac:dyDescent="0.25">
      <c r="A147" s="329"/>
      <c r="B147" s="308"/>
      <c r="C147" s="329"/>
      <c r="D147" s="331"/>
      <c r="E147" s="9" t="s">
        <v>232</v>
      </c>
      <c r="F147" s="9" t="s">
        <v>233</v>
      </c>
      <c r="G147" s="9" t="s">
        <v>234</v>
      </c>
      <c r="H147" s="9"/>
      <c r="I147" s="9"/>
      <c r="J147" s="9"/>
      <c r="K147" s="282" t="s">
        <v>524</v>
      </c>
      <c r="L147" s="282"/>
      <c r="M147" s="282" t="s">
        <v>471</v>
      </c>
      <c r="N147" s="316"/>
      <c r="O147" s="316"/>
      <c r="P147" s="320"/>
      <c r="Q147" s="320"/>
      <c r="R147" s="320"/>
      <c r="S147" s="320"/>
      <c r="T147" s="186"/>
    </row>
    <row r="148" spans="1:20" ht="90" x14ac:dyDescent="0.25">
      <c r="A148" s="327">
        <v>2539</v>
      </c>
      <c r="B148" s="307" t="s">
        <v>488</v>
      </c>
      <c r="C148" s="327">
        <v>909</v>
      </c>
      <c r="D148" s="330" t="s">
        <v>380</v>
      </c>
      <c r="E148" s="9" t="s">
        <v>20</v>
      </c>
      <c r="F148" s="9" t="s">
        <v>240</v>
      </c>
      <c r="G148" s="16" t="s">
        <v>85</v>
      </c>
      <c r="H148" s="9" t="s">
        <v>247</v>
      </c>
      <c r="I148" s="9" t="s">
        <v>48</v>
      </c>
      <c r="J148" s="9" t="s">
        <v>248</v>
      </c>
      <c r="K148" s="54" t="s">
        <v>29</v>
      </c>
      <c r="L148" s="9" t="s">
        <v>249</v>
      </c>
      <c r="M148" s="9" t="s">
        <v>30</v>
      </c>
      <c r="N148" s="309">
        <v>3245000</v>
      </c>
      <c r="O148" s="309">
        <v>2848442.41</v>
      </c>
      <c r="P148" s="309">
        <v>100000</v>
      </c>
      <c r="Q148" s="309">
        <v>100000</v>
      </c>
      <c r="R148" s="309">
        <v>100000</v>
      </c>
      <c r="S148" s="309">
        <v>100000</v>
      </c>
    </row>
    <row r="149" spans="1:20" ht="120" x14ac:dyDescent="0.25">
      <c r="A149" s="328"/>
      <c r="B149" s="332"/>
      <c r="C149" s="328"/>
      <c r="D149" s="333"/>
      <c r="E149" s="9" t="s">
        <v>241</v>
      </c>
      <c r="F149" s="9" t="s">
        <v>242</v>
      </c>
      <c r="G149" s="9" t="s">
        <v>243</v>
      </c>
      <c r="H149" s="9"/>
      <c r="I149" s="9"/>
      <c r="J149" s="9"/>
      <c r="K149" s="54" t="s">
        <v>250</v>
      </c>
      <c r="L149" s="9"/>
      <c r="M149" s="9" t="s">
        <v>251</v>
      </c>
      <c r="N149" s="311"/>
      <c r="O149" s="311"/>
      <c r="P149" s="311"/>
      <c r="Q149" s="311"/>
      <c r="R149" s="311"/>
      <c r="S149" s="311"/>
    </row>
    <row r="150" spans="1:20" ht="60" x14ac:dyDescent="0.25">
      <c r="A150" s="329"/>
      <c r="B150" s="308"/>
      <c r="C150" s="329"/>
      <c r="D150" s="331"/>
      <c r="E150" s="9" t="s">
        <v>244</v>
      </c>
      <c r="F150" s="9" t="s">
        <v>245</v>
      </c>
      <c r="G150" s="9" t="s">
        <v>246</v>
      </c>
      <c r="H150" s="9"/>
      <c r="I150" s="9"/>
      <c r="J150" s="9"/>
      <c r="K150" s="54"/>
      <c r="L150" s="9"/>
      <c r="M150" s="9"/>
      <c r="N150" s="310"/>
      <c r="O150" s="310"/>
      <c r="P150" s="310"/>
      <c r="Q150" s="310"/>
      <c r="R150" s="310"/>
      <c r="S150" s="310"/>
    </row>
    <row r="151" spans="1:20" ht="34.5" customHeight="1" x14ac:dyDescent="0.25">
      <c r="A151" s="327" t="s">
        <v>420</v>
      </c>
      <c r="B151" s="307" t="s">
        <v>489</v>
      </c>
      <c r="C151" s="327">
        <v>909</v>
      </c>
      <c r="D151" s="330" t="s">
        <v>230</v>
      </c>
      <c r="E151" s="9" t="s">
        <v>20</v>
      </c>
      <c r="F151" s="9" t="s">
        <v>253</v>
      </c>
      <c r="G151" s="9" t="s">
        <v>85</v>
      </c>
      <c r="H151" s="9"/>
      <c r="I151" s="9"/>
      <c r="J151" s="9"/>
      <c r="K151" s="54" t="s">
        <v>29</v>
      </c>
      <c r="L151" s="9" t="s">
        <v>254</v>
      </c>
      <c r="M151" s="9" t="s">
        <v>30</v>
      </c>
      <c r="N151" s="309">
        <f>186394059.36-N145-N143</f>
        <v>182981603.69000003</v>
      </c>
      <c r="O151" s="309">
        <f>181892895.64-O145-O143</f>
        <v>178480439.97</v>
      </c>
      <c r="P151" s="309">
        <f>123309116.85-P145-P143</f>
        <v>118736676.84999999</v>
      </c>
      <c r="Q151" s="309">
        <f>194728261.77-Q145-Q143</f>
        <v>190192261.77000001</v>
      </c>
      <c r="R151" s="309">
        <f>98478825.14-R145-R143</f>
        <v>93942825.140000001</v>
      </c>
      <c r="S151" s="309">
        <f>69672658-S145-S143</f>
        <v>65136658</v>
      </c>
    </row>
    <row r="152" spans="1:20" ht="97.5" customHeight="1" x14ac:dyDescent="0.25">
      <c r="A152" s="328"/>
      <c r="B152" s="332"/>
      <c r="C152" s="328"/>
      <c r="D152" s="333"/>
      <c r="E152" s="9"/>
      <c r="F152" s="9"/>
      <c r="G152" s="9"/>
      <c r="H152" s="9"/>
      <c r="I152" s="9"/>
      <c r="J152" s="9"/>
      <c r="K152" s="145" t="s">
        <v>402</v>
      </c>
      <c r="L152" s="135"/>
      <c r="M152" s="135" t="s">
        <v>403</v>
      </c>
      <c r="N152" s="311"/>
      <c r="O152" s="311"/>
      <c r="P152" s="311"/>
      <c r="Q152" s="311"/>
      <c r="R152" s="311"/>
      <c r="S152" s="311"/>
    </row>
    <row r="153" spans="1:20" ht="156" customHeight="1" x14ac:dyDescent="0.25">
      <c r="A153" s="249"/>
      <c r="B153" s="332"/>
      <c r="C153" s="249"/>
      <c r="D153" s="250"/>
      <c r="E153" s="9"/>
      <c r="F153" s="9"/>
      <c r="G153" s="9"/>
      <c r="H153" s="9"/>
      <c r="I153" s="9"/>
      <c r="J153" s="9"/>
      <c r="K153" s="145" t="s">
        <v>531</v>
      </c>
      <c r="L153" s="135"/>
      <c r="M153" s="135" t="s">
        <v>532</v>
      </c>
      <c r="N153" s="248"/>
      <c r="O153" s="248"/>
      <c r="P153" s="248"/>
      <c r="Q153" s="248"/>
      <c r="R153" s="248"/>
      <c r="S153" s="248"/>
    </row>
    <row r="154" spans="1:20" x14ac:dyDescent="0.25">
      <c r="A154" s="137"/>
      <c r="B154" s="139"/>
      <c r="C154" s="137"/>
      <c r="D154" s="138"/>
      <c r="E154" s="9"/>
      <c r="F154" s="9"/>
      <c r="G154" s="9"/>
      <c r="H154" s="9"/>
      <c r="I154" s="9"/>
      <c r="J154" s="9"/>
      <c r="K154" s="283"/>
      <c r="L154" s="283"/>
      <c r="M154" s="284"/>
      <c r="N154" s="168"/>
      <c r="O154" s="168"/>
      <c r="P154" s="168"/>
      <c r="Q154" s="168"/>
      <c r="R154" s="168"/>
      <c r="S154" s="168"/>
    </row>
    <row r="155" spans="1:20" s="19" customFormat="1" ht="114" x14ac:dyDescent="0.2">
      <c r="A155" s="65">
        <v>2600</v>
      </c>
      <c r="B155" s="24" t="s">
        <v>428</v>
      </c>
      <c r="C155" s="15"/>
      <c r="D155" s="22"/>
      <c r="E155" s="15"/>
      <c r="F155" s="15"/>
      <c r="G155" s="15"/>
      <c r="H155" s="15"/>
      <c r="I155" s="15"/>
      <c r="J155" s="15"/>
      <c r="K155" s="196"/>
      <c r="L155" s="15"/>
      <c r="M155" s="15"/>
      <c r="N155" s="172">
        <f t="shared" ref="N155:S155" si="22">N156+N158</f>
        <v>54063389.390000001</v>
      </c>
      <c r="O155" s="172">
        <f t="shared" si="22"/>
        <v>54038775.699999996</v>
      </c>
      <c r="P155" s="172">
        <f t="shared" si="22"/>
        <v>58148592.579999998</v>
      </c>
      <c r="Q155" s="172">
        <f t="shared" si="22"/>
        <v>53193705</v>
      </c>
      <c r="R155" s="172">
        <f t="shared" si="22"/>
        <v>53193705</v>
      </c>
      <c r="S155" s="172">
        <f t="shared" si="22"/>
        <v>53193705</v>
      </c>
    </row>
    <row r="156" spans="1:20" ht="90" x14ac:dyDescent="0.25">
      <c r="A156" s="327" t="s">
        <v>418</v>
      </c>
      <c r="B156" s="307" t="s">
        <v>490</v>
      </c>
      <c r="C156" s="327">
        <v>909</v>
      </c>
      <c r="D156" s="330" t="s">
        <v>185</v>
      </c>
      <c r="E156" s="9" t="s">
        <v>20</v>
      </c>
      <c r="F156" s="9" t="s">
        <v>33</v>
      </c>
      <c r="G156" s="8" t="s">
        <v>21</v>
      </c>
      <c r="H156" s="9" t="s">
        <v>24</v>
      </c>
      <c r="I156" s="10" t="s">
        <v>25</v>
      </c>
      <c r="J156" s="8" t="s">
        <v>26</v>
      </c>
      <c r="K156" s="54" t="s">
        <v>29</v>
      </c>
      <c r="L156" s="4"/>
      <c r="M156" s="9" t="s">
        <v>30</v>
      </c>
      <c r="N156" s="319">
        <v>13715288.65</v>
      </c>
      <c r="O156" s="319">
        <v>13692150.4</v>
      </c>
      <c r="P156" s="309">
        <v>14323341</v>
      </c>
      <c r="Q156" s="309">
        <v>12647632</v>
      </c>
      <c r="R156" s="309">
        <v>12647632</v>
      </c>
      <c r="S156" s="309">
        <v>12647632</v>
      </c>
    </row>
    <row r="157" spans="1:20" ht="228.75" customHeight="1" x14ac:dyDescent="0.25">
      <c r="A157" s="329"/>
      <c r="B157" s="308"/>
      <c r="C157" s="329"/>
      <c r="D157" s="331"/>
      <c r="E157" s="8" t="s">
        <v>22</v>
      </c>
      <c r="F157" s="6" t="s">
        <v>25</v>
      </c>
      <c r="G157" s="8" t="s">
        <v>23</v>
      </c>
      <c r="H157" s="9" t="s">
        <v>27</v>
      </c>
      <c r="I157" s="10" t="s">
        <v>25</v>
      </c>
      <c r="J157" s="9" t="s">
        <v>28</v>
      </c>
      <c r="K157" s="54" t="s">
        <v>568</v>
      </c>
      <c r="L157" s="9"/>
      <c r="M157" s="9" t="s">
        <v>390</v>
      </c>
      <c r="N157" s="320"/>
      <c r="O157" s="320"/>
      <c r="P157" s="310"/>
      <c r="Q157" s="310"/>
      <c r="R157" s="310"/>
      <c r="S157" s="310"/>
    </row>
    <row r="158" spans="1:20" ht="90" x14ac:dyDescent="0.25">
      <c r="A158" s="327">
        <v>2608</v>
      </c>
      <c r="B158" s="307" t="s">
        <v>333</v>
      </c>
      <c r="C158" s="327">
        <v>909</v>
      </c>
      <c r="D158" s="330" t="s">
        <v>185</v>
      </c>
      <c r="E158" s="9" t="s">
        <v>20</v>
      </c>
      <c r="F158" s="9" t="s">
        <v>35</v>
      </c>
      <c r="G158" s="9" t="s">
        <v>21</v>
      </c>
      <c r="H158" s="12"/>
      <c r="I158" s="9"/>
      <c r="J158" s="9"/>
      <c r="K158" s="199" t="s">
        <v>186</v>
      </c>
      <c r="L158" s="9"/>
      <c r="M158" s="9" t="s">
        <v>187</v>
      </c>
      <c r="N158" s="309">
        <v>40348100.740000002</v>
      </c>
      <c r="O158" s="309">
        <v>40346625.299999997</v>
      </c>
      <c r="P158" s="315">
        <v>43825251.579999998</v>
      </c>
      <c r="Q158" s="309">
        <v>40546073</v>
      </c>
      <c r="R158" s="309">
        <v>40546073</v>
      </c>
      <c r="S158" s="309">
        <v>40546073</v>
      </c>
    </row>
    <row r="159" spans="1:20" ht="30" x14ac:dyDescent="0.25">
      <c r="A159" s="329"/>
      <c r="B159" s="308"/>
      <c r="C159" s="329"/>
      <c r="D159" s="331"/>
      <c r="E159" s="9"/>
      <c r="F159" s="9"/>
      <c r="G159" s="9"/>
      <c r="H159" s="9"/>
      <c r="I159" s="9"/>
      <c r="J159" s="9"/>
      <c r="K159" s="54" t="s">
        <v>29</v>
      </c>
      <c r="L159" s="6" t="s">
        <v>36</v>
      </c>
      <c r="M159" s="9" t="s">
        <v>37</v>
      </c>
      <c r="N159" s="310"/>
      <c r="O159" s="310"/>
      <c r="P159" s="316"/>
      <c r="Q159" s="310"/>
      <c r="R159" s="310"/>
      <c r="S159" s="310"/>
    </row>
    <row r="160" spans="1:20" s="19" customFormat="1" ht="42.75" x14ac:dyDescent="0.2">
      <c r="A160" s="85">
        <v>3200</v>
      </c>
      <c r="B160" s="87" t="s">
        <v>476</v>
      </c>
      <c r="C160" s="15"/>
      <c r="D160" s="22"/>
      <c r="E160" s="15"/>
      <c r="F160" s="15"/>
      <c r="G160" s="15"/>
      <c r="H160" s="15"/>
      <c r="I160" s="15"/>
      <c r="J160" s="15"/>
      <c r="K160" s="196"/>
      <c r="L160" s="15"/>
      <c r="M160" s="15"/>
      <c r="N160" s="172">
        <f t="shared" ref="N160:S160" si="23">N161+N162</f>
        <v>26576500</v>
      </c>
      <c r="O160" s="172">
        <f t="shared" si="23"/>
        <v>13896666.43</v>
      </c>
      <c r="P160" s="172">
        <f t="shared" si="23"/>
        <v>18508216.312348701</v>
      </c>
      <c r="Q160" s="172">
        <f t="shared" si="23"/>
        <v>17589500</v>
      </c>
      <c r="R160" s="172">
        <f t="shared" si="23"/>
        <v>17589500</v>
      </c>
      <c r="S160" s="172">
        <f t="shared" si="23"/>
        <v>17589500</v>
      </c>
    </row>
    <row r="161" spans="1:19" ht="230.25" customHeight="1" x14ac:dyDescent="0.25">
      <c r="A161" s="208">
        <v>3260</v>
      </c>
      <c r="B161" s="209" t="s">
        <v>491</v>
      </c>
      <c r="C161" s="208">
        <v>909</v>
      </c>
      <c r="D161" s="210" t="s">
        <v>189</v>
      </c>
      <c r="E161" s="54" t="s">
        <v>544</v>
      </c>
      <c r="F161" s="54" t="s">
        <v>557</v>
      </c>
      <c r="G161" s="54" t="s">
        <v>547</v>
      </c>
      <c r="H161" s="236" t="s">
        <v>255</v>
      </c>
      <c r="I161" s="212" t="s">
        <v>48</v>
      </c>
      <c r="J161" s="209" t="s">
        <v>256</v>
      </c>
      <c r="K161" s="204" t="s">
        <v>461</v>
      </c>
      <c r="L161" s="9"/>
      <c r="M161" s="9" t="s">
        <v>462</v>
      </c>
      <c r="N161" s="233">
        <v>24000000</v>
      </c>
      <c r="O161" s="233">
        <v>11332270.130000001</v>
      </c>
      <c r="P161" s="233">
        <v>15895700</v>
      </c>
      <c r="Q161" s="233">
        <v>15895700</v>
      </c>
      <c r="R161" s="233">
        <v>15895700</v>
      </c>
      <c r="S161" s="233">
        <v>15895700</v>
      </c>
    </row>
    <row r="162" spans="1:19" ht="105" customHeight="1" x14ac:dyDescent="0.25">
      <c r="A162" s="235">
        <v>3254</v>
      </c>
      <c r="B162" s="236" t="s">
        <v>339</v>
      </c>
      <c r="C162" s="235">
        <v>909</v>
      </c>
      <c r="D162" s="237" t="s">
        <v>391</v>
      </c>
      <c r="E162" s="54" t="s">
        <v>544</v>
      </c>
      <c r="F162" s="54" t="s">
        <v>558</v>
      </c>
      <c r="G162" s="54" t="s">
        <v>547</v>
      </c>
      <c r="H162" s="236" t="s">
        <v>257</v>
      </c>
      <c r="I162" s="236" t="s">
        <v>48</v>
      </c>
      <c r="J162" s="236" t="s">
        <v>258</v>
      </c>
      <c r="K162" s="54" t="s">
        <v>369</v>
      </c>
      <c r="L162" s="9"/>
      <c r="M162" s="9" t="s">
        <v>370</v>
      </c>
      <c r="N162" s="233">
        <f>2348661+227839</f>
        <v>2576500</v>
      </c>
      <c r="O162" s="233">
        <f>2336557.3+227839</f>
        <v>2564396.2999999998</v>
      </c>
      <c r="P162" s="233">
        <f>263816.3123487+2348700</f>
        <v>2612516.3123487001</v>
      </c>
      <c r="Q162" s="233">
        <f>1466000+227800</f>
        <v>1693800</v>
      </c>
      <c r="R162" s="233">
        <f>1466000+227800</f>
        <v>1693800</v>
      </c>
      <c r="S162" s="233">
        <v>1693800</v>
      </c>
    </row>
    <row r="163" spans="1:19" s="19" customFormat="1" ht="42.75" x14ac:dyDescent="0.2">
      <c r="A163" s="26"/>
      <c r="B163" s="25" t="s">
        <v>259</v>
      </c>
      <c r="C163" s="26">
        <v>911</v>
      </c>
      <c r="D163" s="27"/>
      <c r="E163" s="25"/>
      <c r="F163" s="25"/>
      <c r="G163" s="25"/>
      <c r="H163" s="25"/>
      <c r="I163" s="25"/>
      <c r="J163" s="25"/>
      <c r="K163" s="200"/>
      <c r="L163" s="25"/>
      <c r="M163" s="25"/>
      <c r="N163" s="181">
        <f t="shared" ref="N163:S163" si="24">N164+N180</f>
        <v>228031606.68000001</v>
      </c>
      <c r="O163" s="181">
        <f t="shared" si="24"/>
        <v>227565382.78</v>
      </c>
      <c r="P163" s="181">
        <f t="shared" si="24"/>
        <v>232454619</v>
      </c>
      <c r="Q163" s="181">
        <f t="shared" si="24"/>
        <v>199090694</v>
      </c>
      <c r="R163" s="181">
        <f t="shared" si="24"/>
        <v>245445694</v>
      </c>
      <c r="S163" s="181">
        <f t="shared" si="24"/>
        <v>245445694</v>
      </c>
    </row>
    <row r="164" spans="1:19" s="19" customFormat="1" ht="57" x14ac:dyDescent="0.2">
      <c r="A164" s="81">
        <v>2500</v>
      </c>
      <c r="B164" s="89" t="s">
        <v>427</v>
      </c>
      <c r="C164" s="15"/>
      <c r="D164" s="22"/>
      <c r="E164" s="15"/>
      <c r="F164" s="15"/>
      <c r="G164" s="15"/>
      <c r="H164" s="15"/>
      <c r="I164" s="15"/>
      <c r="J164" s="15"/>
      <c r="K164" s="196"/>
      <c r="L164" s="15"/>
      <c r="M164" s="15"/>
      <c r="N164" s="172">
        <f>N166+N175+N171+N172+N165</f>
        <v>183595281.93000001</v>
      </c>
      <c r="O164" s="172">
        <f>O166+O175+O171+O172+O165</f>
        <v>183151757.91</v>
      </c>
      <c r="P164" s="172">
        <f t="shared" ref="P164:S164" si="25">P166+P175+P171+P172+P165</f>
        <v>183058363</v>
      </c>
      <c r="Q164" s="172">
        <f t="shared" si="25"/>
        <v>154148623</v>
      </c>
      <c r="R164" s="172">
        <f t="shared" si="25"/>
        <v>200503623</v>
      </c>
      <c r="S164" s="172">
        <f t="shared" si="25"/>
        <v>200503623</v>
      </c>
    </row>
    <row r="165" spans="1:19" s="19" customFormat="1" ht="90" x14ac:dyDescent="0.2">
      <c r="A165" s="256">
        <v>2502</v>
      </c>
      <c r="B165" s="257" t="s">
        <v>538</v>
      </c>
      <c r="C165" s="273">
        <v>911</v>
      </c>
      <c r="D165" s="274" t="s">
        <v>260</v>
      </c>
      <c r="E165" s="9" t="s">
        <v>20</v>
      </c>
      <c r="F165" s="54" t="s">
        <v>559</v>
      </c>
      <c r="G165" s="9" t="s">
        <v>85</v>
      </c>
      <c r="H165" s="24"/>
      <c r="I165" s="24"/>
      <c r="J165" s="24"/>
      <c r="K165" s="54" t="s">
        <v>29</v>
      </c>
      <c r="L165" s="9" t="s">
        <v>539</v>
      </c>
      <c r="M165" s="9" t="s">
        <v>37</v>
      </c>
      <c r="N165" s="286">
        <v>41521.11</v>
      </c>
      <c r="O165" s="286">
        <v>41521.11</v>
      </c>
      <c r="P165" s="269"/>
      <c r="Q165" s="180"/>
      <c r="R165" s="180"/>
      <c r="S165" s="180"/>
    </row>
    <row r="166" spans="1:19" ht="90" x14ac:dyDescent="0.25">
      <c r="A166" s="327">
        <v>2534</v>
      </c>
      <c r="B166" s="307" t="s">
        <v>492</v>
      </c>
      <c r="C166" s="327">
        <v>911</v>
      </c>
      <c r="D166" s="330" t="s">
        <v>504</v>
      </c>
      <c r="E166" s="9" t="s">
        <v>20</v>
      </c>
      <c r="F166" s="9" t="s">
        <v>273</v>
      </c>
      <c r="G166" s="9" t="s">
        <v>85</v>
      </c>
      <c r="H166" s="9"/>
      <c r="I166" s="9"/>
      <c r="J166" s="9"/>
      <c r="K166" s="54" t="s">
        <v>29</v>
      </c>
      <c r="L166" s="9" t="s">
        <v>155</v>
      </c>
      <c r="M166" s="9" t="s">
        <v>30</v>
      </c>
      <c r="N166" s="278">
        <f>38366945.02+116447585.1-N171</f>
        <v>154534530.12</v>
      </c>
      <c r="O166" s="278">
        <f>38254595.33+116231509.19-O171</f>
        <v>154206104.51999998</v>
      </c>
      <c r="P166" s="278">
        <f>42390263+107607134-P171</f>
        <v>149697397</v>
      </c>
      <c r="Q166" s="278">
        <f>39227625+82166010-Q171</f>
        <v>121093635</v>
      </c>
      <c r="R166" s="278">
        <f>89732675.51+78015959.49-R171</f>
        <v>167448635</v>
      </c>
      <c r="S166" s="278">
        <f>89732675.51+78015959.49-S171</f>
        <v>167448635</v>
      </c>
    </row>
    <row r="167" spans="1:19" ht="165" x14ac:dyDescent="0.25">
      <c r="A167" s="329"/>
      <c r="B167" s="308"/>
      <c r="C167" s="329"/>
      <c r="D167" s="331"/>
      <c r="E167" s="97"/>
      <c r="F167" s="97"/>
      <c r="G167" s="97"/>
      <c r="H167" s="9"/>
      <c r="I167" s="9"/>
      <c r="J167" s="9"/>
      <c r="K167" s="54" t="s">
        <v>407</v>
      </c>
      <c r="L167" s="9"/>
      <c r="M167" s="9" t="s">
        <v>408</v>
      </c>
      <c r="N167" s="168"/>
      <c r="O167" s="168"/>
      <c r="P167" s="168"/>
      <c r="Q167" s="168"/>
      <c r="R167" s="168"/>
      <c r="S167" s="168"/>
    </row>
    <row r="168" spans="1:19" ht="105" x14ac:dyDescent="0.25">
      <c r="A168" s="160"/>
      <c r="B168" s="159"/>
      <c r="C168" s="160"/>
      <c r="D168" s="161"/>
      <c r="E168" s="158"/>
      <c r="F168" s="158"/>
      <c r="G168" s="158"/>
      <c r="H168" s="9"/>
      <c r="I168" s="9"/>
      <c r="J168" s="9"/>
      <c r="K168" s="54" t="s">
        <v>436</v>
      </c>
      <c r="L168" s="9"/>
      <c r="M168" s="9" t="s">
        <v>437</v>
      </c>
      <c r="N168" s="168"/>
      <c r="O168" s="168"/>
      <c r="P168" s="168"/>
      <c r="Q168" s="168"/>
      <c r="R168" s="168"/>
      <c r="S168" s="168"/>
    </row>
    <row r="169" spans="1:19" ht="150" x14ac:dyDescent="0.25">
      <c r="A169" s="160"/>
      <c r="B169" s="159"/>
      <c r="C169" s="160"/>
      <c r="D169" s="161"/>
      <c r="E169" s="158"/>
      <c r="F169" s="158"/>
      <c r="G169" s="158"/>
      <c r="H169" s="9"/>
      <c r="I169" s="9"/>
      <c r="J169" s="9"/>
      <c r="K169" s="54" t="s">
        <v>438</v>
      </c>
      <c r="L169" s="9"/>
      <c r="M169" s="9" t="s">
        <v>439</v>
      </c>
      <c r="N169" s="168"/>
      <c r="O169" s="168"/>
      <c r="P169" s="168"/>
      <c r="Q169" s="168"/>
      <c r="R169" s="168"/>
      <c r="S169" s="168"/>
    </row>
    <row r="170" spans="1:19" ht="90" x14ac:dyDescent="0.25">
      <c r="A170" s="160"/>
      <c r="B170" s="159"/>
      <c r="C170" s="160"/>
      <c r="D170" s="161"/>
      <c r="E170" s="158"/>
      <c r="F170" s="158"/>
      <c r="G170" s="158"/>
      <c r="H170" s="9"/>
      <c r="I170" s="9"/>
      <c r="J170" s="9"/>
      <c r="K170" s="54" t="s">
        <v>440</v>
      </c>
      <c r="L170" s="9"/>
      <c r="M170" s="9" t="s">
        <v>439</v>
      </c>
      <c r="N170" s="168"/>
      <c r="O170" s="168"/>
      <c r="P170" s="168"/>
      <c r="Q170" s="168"/>
      <c r="R170" s="168"/>
      <c r="S170" s="168"/>
    </row>
    <row r="171" spans="1:19" ht="165" x14ac:dyDescent="0.25">
      <c r="A171" s="11">
        <v>2535</v>
      </c>
      <c r="B171" s="9" t="s">
        <v>431</v>
      </c>
      <c r="C171" s="11">
        <v>911</v>
      </c>
      <c r="D171" s="17" t="s">
        <v>272</v>
      </c>
      <c r="E171" s="9" t="s">
        <v>274</v>
      </c>
      <c r="F171" s="9" t="s">
        <v>275</v>
      </c>
      <c r="G171" s="9" t="s">
        <v>276</v>
      </c>
      <c r="H171" s="9"/>
      <c r="I171" s="9"/>
      <c r="J171" s="9"/>
      <c r="K171" s="54" t="s">
        <v>322</v>
      </c>
      <c r="L171" s="9"/>
      <c r="M171" s="9" t="s">
        <v>323</v>
      </c>
      <c r="N171" s="173">
        <v>280000</v>
      </c>
      <c r="O171" s="173">
        <v>280000</v>
      </c>
      <c r="P171" s="173">
        <v>300000</v>
      </c>
      <c r="Q171" s="173">
        <v>300000</v>
      </c>
      <c r="R171" s="173">
        <v>300000</v>
      </c>
      <c r="S171" s="173">
        <v>300000</v>
      </c>
    </row>
    <row r="172" spans="1:19" ht="135" x14ac:dyDescent="0.25">
      <c r="A172" s="327">
        <v>2554</v>
      </c>
      <c r="B172" s="307" t="s">
        <v>432</v>
      </c>
      <c r="C172" s="327">
        <v>911</v>
      </c>
      <c r="D172" s="330" t="s">
        <v>503</v>
      </c>
      <c r="E172" s="128" t="s">
        <v>20</v>
      </c>
      <c r="F172" s="128" t="s">
        <v>47</v>
      </c>
      <c r="G172" s="128" t="s">
        <v>85</v>
      </c>
      <c r="H172" s="9"/>
      <c r="I172" s="9"/>
      <c r="J172" s="9"/>
      <c r="K172" s="54" t="s">
        <v>569</v>
      </c>
      <c r="L172" s="9"/>
      <c r="M172" s="9" t="s">
        <v>353</v>
      </c>
      <c r="N172" s="309">
        <v>0</v>
      </c>
      <c r="O172" s="309">
        <v>0</v>
      </c>
      <c r="P172" s="309">
        <v>64000</v>
      </c>
      <c r="Q172" s="309">
        <v>64000</v>
      </c>
      <c r="R172" s="309">
        <v>64000</v>
      </c>
      <c r="S172" s="309">
        <v>64000</v>
      </c>
    </row>
    <row r="173" spans="1:19" ht="165" x14ac:dyDescent="0.25">
      <c r="A173" s="328"/>
      <c r="B173" s="332"/>
      <c r="C173" s="328"/>
      <c r="D173" s="333"/>
      <c r="E173" s="144"/>
      <c r="F173" s="144"/>
      <c r="G173" s="144"/>
      <c r="H173" s="9"/>
      <c r="I173" s="9"/>
      <c r="J173" s="9"/>
      <c r="K173" s="54" t="s">
        <v>570</v>
      </c>
      <c r="L173" s="9"/>
      <c r="M173" s="9" t="s">
        <v>49</v>
      </c>
      <c r="N173" s="311"/>
      <c r="O173" s="311"/>
      <c r="P173" s="311"/>
      <c r="Q173" s="311"/>
      <c r="R173" s="311"/>
      <c r="S173" s="311"/>
    </row>
    <row r="174" spans="1:19" ht="165" x14ac:dyDescent="0.25">
      <c r="A174" s="329"/>
      <c r="B174" s="308"/>
      <c r="C174" s="329"/>
      <c r="D174" s="331"/>
      <c r="E174" s="144"/>
      <c r="F174" s="144"/>
      <c r="G174" s="144"/>
      <c r="H174" s="9"/>
      <c r="I174" s="9"/>
      <c r="J174" s="9"/>
      <c r="K174" s="54" t="s">
        <v>519</v>
      </c>
      <c r="L174" s="9"/>
      <c r="M174" s="9" t="s">
        <v>412</v>
      </c>
      <c r="N174" s="310"/>
      <c r="O174" s="310"/>
      <c r="P174" s="310"/>
      <c r="Q174" s="310"/>
      <c r="R174" s="310"/>
      <c r="S174" s="310"/>
    </row>
    <row r="175" spans="1:19" ht="75" x14ac:dyDescent="0.25">
      <c r="A175" s="327">
        <v>2555</v>
      </c>
      <c r="B175" s="327" t="s">
        <v>263</v>
      </c>
      <c r="C175" s="327">
        <v>911</v>
      </c>
      <c r="D175" s="330" t="s">
        <v>264</v>
      </c>
      <c r="E175" s="307" t="s">
        <v>20</v>
      </c>
      <c r="F175" s="307" t="s">
        <v>265</v>
      </c>
      <c r="G175" s="307" t="s">
        <v>85</v>
      </c>
      <c r="H175" s="9" t="s">
        <v>266</v>
      </c>
      <c r="I175" s="9" t="s">
        <v>267</v>
      </c>
      <c r="J175" s="9" t="s">
        <v>268</v>
      </c>
      <c r="K175" s="54" t="s">
        <v>29</v>
      </c>
      <c r="L175" s="9" t="s">
        <v>155</v>
      </c>
      <c r="M175" s="9" t="s">
        <v>30</v>
      </c>
      <c r="N175" s="309">
        <v>28739230.699999999</v>
      </c>
      <c r="O175" s="309">
        <v>28624132.280000001</v>
      </c>
      <c r="P175" s="309">
        <v>32996966</v>
      </c>
      <c r="Q175" s="309">
        <v>32690988</v>
      </c>
      <c r="R175" s="309">
        <v>32690988</v>
      </c>
      <c r="S175" s="309">
        <v>32690988</v>
      </c>
    </row>
    <row r="176" spans="1:19" ht="30" x14ac:dyDescent="0.25">
      <c r="A176" s="328"/>
      <c r="B176" s="328"/>
      <c r="C176" s="328"/>
      <c r="D176" s="333"/>
      <c r="E176" s="332"/>
      <c r="F176" s="332"/>
      <c r="G176" s="332"/>
      <c r="H176" s="9"/>
      <c r="I176" s="9"/>
      <c r="J176" s="9"/>
      <c r="K176" s="124" t="s">
        <v>329</v>
      </c>
      <c r="L176" s="9"/>
      <c r="M176" s="9" t="s">
        <v>328</v>
      </c>
      <c r="N176" s="311"/>
      <c r="O176" s="311"/>
      <c r="P176" s="311"/>
      <c r="Q176" s="311"/>
      <c r="R176" s="311"/>
      <c r="S176" s="311"/>
    </row>
    <row r="177" spans="1:19" ht="75" x14ac:dyDescent="0.25">
      <c r="A177" s="328"/>
      <c r="B177" s="328"/>
      <c r="C177" s="328"/>
      <c r="D177" s="333"/>
      <c r="E177" s="332"/>
      <c r="F177" s="332"/>
      <c r="G177" s="332"/>
      <c r="H177" s="9"/>
      <c r="I177" s="9"/>
      <c r="J177" s="9"/>
      <c r="K177" s="124" t="s">
        <v>409</v>
      </c>
      <c r="L177" s="9"/>
      <c r="M177" s="9" t="s">
        <v>410</v>
      </c>
      <c r="N177" s="311"/>
      <c r="O177" s="311"/>
      <c r="P177" s="311"/>
      <c r="Q177" s="311"/>
      <c r="R177" s="311"/>
      <c r="S177" s="311"/>
    </row>
    <row r="178" spans="1:19" ht="105" x14ac:dyDescent="0.25">
      <c r="A178" s="328"/>
      <c r="B178" s="328"/>
      <c r="C178" s="328"/>
      <c r="D178" s="333"/>
      <c r="E178" s="308"/>
      <c r="F178" s="308"/>
      <c r="G178" s="308"/>
      <c r="H178" s="9"/>
      <c r="I178" s="9"/>
      <c r="J178" s="9"/>
      <c r="K178" s="124" t="s">
        <v>269</v>
      </c>
      <c r="L178" s="140"/>
      <c r="M178" s="9" t="s">
        <v>270</v>
      </c>
      <c r="N178" s="310"/>
      <c r="O178" s="310"/>
      <c r="P178" s="310"/>
      <c r="Q178" s="310"/>
      <c r="R178" s="310"/>
      <c r="S178" s="310"/>
    </row>
    <row r="179" spans="1:19" ht="135" x14ac:dyDescent="0.25">
      <c r="A179" s="163"/>
      <c r="B179" s="163"/>
      <c r="C179" s="163"/>
      <c r="D179" s="164"/>
      <c r="E179" s="162"/>
      <c r="F179" s="162"/>
      <c r="G179" s="162"/>
      <c r="H179" s="9"/>
      <c r="I179" s="9"/>
      <c r="J179" s="9"/>
      <c r="K179" s="124" t="s">
        <v>442</v>
      </c>
      <c r="L179" s="140"/>
      <c r="M179" s="9" t="s">
        <v>443</v>
      </c>
      <c r="N179" s="170"/>
      <c r="O179" s="170"/>
      <c r="P179" s="170"/>
      <c r="Q179" s="169"/>
      <c r="R179" s="169"/>
      <c r="S179" s="169"/>
    </row>
    <row r="180" spans="1:19" s="19" customFormat="1" ht="114" x14ac:dyDescent="0.2">
      <c r="A180" s="65">
        <v>2600</v>
      </c>
      <c r="B180" s="24" t="s">
        <v>428</v>
      </c>
      <c r="C180" s="15"/>
      <c r="D180" s="22"/>
      <c r="E180" s="15"/>
      <c r="F180" s="15"/>
      <c r="G180" s="15"/>
      <c r="H180" s="15"/>
      <c r="I180" s="15"/>
      <c r="J180" s="15"/>
      <c r="K180" s="196"/>
      <c r="L180" s="15"/>
      <c r="M180" s="15"/>
      <c r="N180" s="172">
        <f t="shared" ref="N180:S180" si="26">N181+N183</f>
        <v>44436324.75</v>
      </c>
      <c r="O180" s="172">
        <f t="shared" si="26"/>
        <v>44413624.869999997</v>
      </c>
      <c r="P180" s="172">
        <f t="shared" si="26"/>
        <v>49396256</v>
      </c>
      <c r="Q180" s="172">
        <f t="shared" si="26"/>
        <v>44942071</v>
      </c>
      <c r="R180" s="172">
        <f t="shared" si="26"/>
        <v>44942071</v>
      </c>
      <c r="S180" s="172">
        <f t="shared" si="26"/>
        <v>44942071</v>
      </c>
    </row>
    <row r="181" spans="1:19" ht="90" x14ac:dyDescent="0.25">
      <c r="A181" s="327" t="s">
        <v>418</v>
      </c>
      <c r="B181" s="307" t="s">
        <v>481</v>
      </c>
      <c r="C181" s="327">
        <v>911</v>
      </c>
      <c r="D181" s="330" t="s">
        <v>260</v>
      </c>
      <c r="E181" s="9" t="s">
        <v>20</v>
      </c>
      <c r="F181" s="9" t="s">
        <v>33</v>
      </c>
      <c r="G181" s="8" t="s">
        <v>21</v>
      </c>
      <c r="H181" s="9" t="s">
        <v>24</v>
      </c>
      <c r="I181" s="10" t="s">
        <v>25</v>
      </c>
      <c r="J181" s="8" t="s">
        <v>26</v>
      </c>
      <c r="K181" s="54" t="s">
        <v>29</v>
      </c>
      <c r="L181" s="4"/>
      <c r="M181" s="9" t="s">
        <v>30</v>
      </c>
      <c r="N181" s="309">
        <v>5424188</v>
      </c>
      <c r="O181" s="309">
        <v>5416901.3899999997</v>
      </c>
      <c r="P181" s="309">
        <v>5661637</v>
      </c>
      <c r="Q181" s="309">
        <v>5017208</v>
      </c>
      <c r="R181" s="309">
        <v>5017208</v>
      </c>
      <c r="S181" s="309">
        <v>5017208</v>
      </c>
    </row>
    <row r="182" spans="1:19" ht="285" x14ac:dyDescent="0.25">
      <c r="A182" s="329"/>
      <c r="B182" s="308"/>
      <c r="C182" s="329"/>
      <c r="D182" s="331"/>
      <c r="E182" s="8" t="s">
        <v>22</v>
      </c>
      <c r="F182" s="6" t="s">
        <v>25</v>
      </c>
      <c r="G182" s="8" t="s">
        <v>23</v>
      </c>
      <c r="H182" s="9" t="s">
        <v>27</v>
      </c>
      <c r="I182" s="10" t="s">
        <v>25</v>
      </c>
      <c r="J182" s="9" t="s">
        <v>28</v>
      </c>
      <c r="K182" s="54" t="s">
        <v>571</v>
      </c>
      <c r="L182" s="10"/>
      <c r="M182" s="9" t="s">
        <v>261</v>
      </c>
      <c r="N182" s="310"/>
      <c r="O182" s="310"/>
      <c r="P182" s="310"/>
      <c r="Q182" s="310"/>
      <c r="R182" s="310"/>
      <c r="S182" s="310"/>
    </row>
    <row r="183" spans="1:19" ht="45" x14ac:dyDescent="0.25">
      <c r="A183" s="327">
        <v>2608</v>
      </c>
      <c r="B183" s="307" t="s">
        <v>333</v>
      </c>
      <c r="C183" s="327">
        <v>911</v>
      </c>
      <c r="D183" s="330" t="s">
        <v>260</v>
      </c>
      <c r="E183" s="307" t="s">
        <v>20</v>
      </c>
      <c r="F183" s="307" t="s">
        <v>35</v>
      </c>
      <c r="G183" s="307" t="s">
        <v>21</v>
      </c>
      <c r="H183" s="348"/>
      <c r="I183" s="327"/>
      <c r="J183" s="327"/>
      <c r="K183" s="54" t="s">
        <v>29</v>
      </c>
      <c r="L183" s="4"/>
      <c r="M183" s="9" t="s">
        <v>30</v>
      </c>
      <c r="N183" s="309">
        <v>39012136.75</v>
      </c>
      <c r="O183" s="309">
        <v>38996723.479999997</v>
      </c>
      <c r="P183" s="309">
        <v>43734619</v>
      </c>
      <c r="Q183" s="309">
        <v>39924863</v>
      </c>
      <c r="R183" s="309">
        <v>39924863</v>
      </c>
      <c r="S183" s="309">
        <v>39924863</v>
      </c>
    </row>
    <row r="184" spans="1:19" ht="75.75" customHeight="1" x14ac:dyDescent="0.25">
      <c r="A184" s="329"/>
      <c r="B184" s="308"/>
      <c r="C184" s="329"/>
      <c r="D184" s="331"/>
      <c r="E184" s="308"/>
      <c r="F184" s="308"/>
      <c r="G184" s="308"/>
      <c r="H184" s="349"/>
      <c r="I184" s="329"/>
      <c r="J184" s="329"/>
      <c r="K184" s="54" t="s">
        <v>326</v>
      </c>
      <c r="L184" s="4"/>
      <c r="M184" s="9" t="s">
        <v>327</v>
      </c>
      <c r="N184" s="310"/>
      <c r="O184" s="310"/>
      <c r="P184" s="310"/>
      <c r="Q184" s="310"/>
      <c r="R184" s="310"/>
      <c r="S184" s="310"/>
    </row>
    <row r="185" spans="1:19" s="19" customFormat="1" ht="14.25" x14ac:dyDescent="0.2">
      <c r="A185" s="29"/>
      <c r="B185" s="28" t="s">
        <v>277</v>
      </c>
      <c r="C185" s="29">
        <v>915</v>
      </c>
      <c r="D185" s="30"/>
      <c r="E185" s="28"/>
      <c r="F185" s="28"/>
      <c r="G185" s="28"/>
      <c r="H185" s="28"/>
      <c r="I185" s="28"/>
      <c r="J185" s="28"/>
      <c r="K185" s="197"/>
      <c r="L185" s="28"/>
      <c r="M185" s="28"/>
      <c r="N185" s="178">
        <f t="shared" ref="N185:S185" si="27">N186+N199</f>
        <v>201870100</v>
      </c>
      <c r="O185" s="178">
        <f t="shared" si="27"/>
        <v>201805083.80000001</v>
      </c>
      <c r="P185" s="178">
        <f t="shared" si="27"/>
        <v>277893867</v>
      </c>
      <c r="Q185" s="178">
        <f t="shared" si="27"/>
        <v>308658081</v>
      </c>
      <c r="R185" s="178">
        <f t="shared" si="27"/>
        <v>244370421</v>
      </c>
      <c r="S185" s="178">
        <f t="shared" si="27"/>
        <v>244305921</v>
      </c>
    </row>
    <row r="186" spans="1:19" s="19" customFormat="1" ht="57" x14ac:dyDescent="0.2">
      <c r="A186" s="81">
        <v>2500</v>
      </c>
      <c r="B186" s="89" t="s">
        <v>427</v>
      </c>
      <c r="C186" s="15"/>
      <c r="D186" s="22"/>
      <c r="E186" s="15"/>
      <c r="F186" s="15"/>
      <c r="G186" s="15"/>
      <c r="H186" s="15"/>
      <c r="I186" s="15"/>
      <c r="J186" s="15"/>
      <c r="K186" s="196"/>
      <c r="L186" s="15"/>
      <c r="M186" s="15"/>
      <c r="N186" s="180">
        <f t="shared" ref="N186:S186" si="28">N187+N190+N195</f>
        <v>196694917</v>
      </c>
      <c r="O186" s="180">
        <f t="shared" si="28"/>
        <v>196694917</v>
      </c>
      <c r="P186" s="180">
        <f t="shared" si="28"/>
        <v>271975923</v>
      </c>
      <c r="Q186" s="180">
        <f t="shared" si="28"/>
        <v>303476359</v>
      </c>
      <c r="R186" s="180">
        <f t="shared" si="28"/>
        <v>239188699</v>
      </c>
      <c r="S186" s="180">
        <f t="shared" si="28"/>
        <v>239124199</v>
      </c>
    </row>
    <row r="187" spans="1:19" ht="90" customHeight="1" x14ac:dyDescent="0.25">
      <c r="A187" s="327">
        <v>2525</v>
      </c>
      <c r="B187" s="307" t="s">
        <v>433</v>
      </c>
      <c r="C187" s="327">
        <v>915</v>
      </c>
      <c r="D187" s="330" t="s">
        <v>262</v>
      </c>
      <c r="E187" s="9" t="s">
        <v>20</v>
      </c>
      <c r="F187" s="9" t="s">
        <v>150</v>
      </c>
      <c r="G187" s="9" t="s">
        <v>85</v>
      </c>
      <c r="H187" s="9" t="s">
        <v>153</v>
      </c>
      <c r="I187" s="9" t="s">
        <v>48</v>
      </c>
      <c r="J187" s="9" t="s">
        <v>154</v>
      </c>
      <c r="K187" s="54" t="s">
        <v>29</v>
      </c>
      <c r="L187" s="9" t="s">
        <v>155</v>
      </c>
      <c r="M187" s="55" t="s">
        <v>30</v>
      </c>
      <c r="N187" s="309">
        <v>63930954</v>
      </c>
      <c r="O187" s="309">
        <v>63930954</v>
      </c>
      <c r="P187" s="309">
        <v>71109890</v>
      </c>
      <c r="Q187" s="309">
        <v>130404104</v>
      </c>
      <c r="R187" s="309">
        <v>61404104</v>
      </c>
      <c r="S187" s="309">
        <v>61404104</v>
      </c>
    </row>
    <row r="188" spans="1:19" ht="120" x14ac:dyDescent="0.25">
      <c r="A188" s="328"/>
      <c r="B188" s="332"/>
      <c r="C188" s="328"/>
      <c r="D188" s="333"/>
      <c r="E188" s="9"/>
      <c r="F188" s="9"/>
      <c r="G188" s="9"/>
      <c r="H188" s="9"/>
      <c r="I188" s="9"/>
      <c r="J188" s="9"/>
      <c r="K188" s="124" t="s">
        <v>324</v>
      </c>
      <c r="L188" s="9"/>
      <c r="M188" s="55" t="s">
        <v>325</v>
      </c>
      <c r="N188" s="311"/>
      <c r="O188" s="311"/>
      <c r="P188" s="311"/>
      <c r="Q188" s="311"/>
      <c r="R188" s="311"/>
      <c r="S188" s="311"/>
    </row>
    <row r="189" spans="1:19" ht="135" x14ac:dyDescent="0.25">
      <c r="A189" s="328"/>
      <c r="B189" s="332"/>
      <c r="C189" s="328"/>
      <c r="D189" s="333"/>
      <c r="E189" s="9"/>
      <c r="F189" s="9"/>
      <c r="G189" s="9"/>
      <c r="H189" s="9"/>
      <c r="I189" s="9"/>
      <c r="J189" s="9"/>
      <c r="K189" s="54" t="s">
        <v>411</v>
      </c>
      <c r="L189" s="54"/>
      <c r="M189" s="143" t="s">
        <v>404</v>
      </c>
      <c r="N189" s="311"/>
      <c r="O189" s="311"/>
      <c r="P189" s="311"/>
      <c r="Q189" s="311"/>
      <c r="R189" s="311"/>
      <c r="S189" s="311"/>
    </row>
    <row r="190" spans="1:19" ht="90" x14ac:dyDescent="0.25">
      <c r="A190" s="327">
        <v>2530</v>
      </c>
      <c r="B190" s="307" t="s">
        <v>280</v>
      </c>
      <c r="C190" s="327">
        <v>915</v>
      </c>
      <c r="D190" s="330" t="s">
        <v>281</v>
      </c>
      <c r="E190" s="9" t="s">
        <v>20</v>
      </c>
      <c r="F190" s="9" t="s">
        <v>282</v>
      </c>
      <c r="G190" s="9" t="s">
        <v>85</v>
      </c>
      <c r="H190" s="9" t="s">
        <v>288</v>
      </c>
      <c r="I190" s="9" t="s">
        <v>275</v>
      </c>
      <c r="J190" s="9" t="s">
        <v>289</v>
      </c>
      <c r="K190" s="54"/>
      <c r="L190" s="9"/>
      <c r="M190" s="9"/>
      <c r="N190" s="311">
        <v>68039937</v>
      </c>
      <c r="O190" s="311">
        <v>68039937</v>
      </c>
      <c r="P190" s="309">
        <v>73159572</v>
      </c>
      <c r="Q190" s="309">
        <v>60468177</v>
      </c>
      <c r="R190" s="311">
        <v>62880517</v>
      </c>
      <c r="S190" s="311">
        <v>62816017</v>
      </c>
    </row>
    <row r="191" spans="1:19" ht="210" x14ac:dyDescent="0.25">
      <c r="A191" s="328"/>
      <c r="B191" s="332"/>
      <c r="C191" s="328"/>
      <c r="D191" s="333"/>
      <c r="E191" s="9"/>
      <c r="F191" s="9"/>
      <c r="G191" s="9"/>
      <c r="H191" s="9"/>
      <c r="I191" s="9"/>
      <c r="J191" s="9"/>
      <c r="K191" s="54" t="s">
        <v>463</v>
      </c>
      <c r="L191" s="9"/>
      <c r="M191" s="9" t="s">
        <v>464</v>
      </c>
      <c r="N191" s="311"/>
      <c r="O191" s="311"/>
      <c r="P191" s="311"/>
      <c r="Q191" s="311"/>
      <c r="R191" s="311"/>
      <c r="S191" s="311"/>
    </row>
    <row r="192" spans="1:19" ht="135" x14ac:dyDescent="0.25">
      <c r="A192" s="328"/>
      <c r="B192" s="332"/>
      <c r="C192" s="328"/>
      <c r="D192" s="333"/>
      <c r="E192" s="9" t="s">
        <v>283</v>
      </c>
      <c r="F192" s="9" t="s">
        <v>48</v>
      </c>
      <c r="G192" s="9" t="s">
        <v>284</v>
      </c>
      <c r="H192" s="9"/>
      <c r="I192" s="9"/>
      <c r="J192" s="9"/>
      <c r="K192" s="124" t="s">
        <v>447</v>
      </c>
      <c r="L192" s="9"/>
      <c r="M192" s="9" t="s">
        <v>448</v>
      </c>
      <c r="N192" s="311"/>
      <c r="O192" s="311"/>
      <c r="P192" s="311"/>
      <c r="Q192" s="311"/>
      <c r="R192" s="311"/>
      <c r="S192" s="311"/>
    </row>
    <row r="193" spans="1:19" ht="180" x14ac:dyDescent="0.25">
      <c r="A193" s="328"/>
      <c r="B193" s="332"/>
      <c r="C193" s="328"/>
      <c r="D193" s="333"/>
      <c r="E193" s="9"/>
      <c r="F193" s="9"/>
      <c r="G193" s="9"/>
      <c r="H193" s="9"/>
      <c r="I193" s="9"/>
      <c r="J193" s="9"/>
      <c r="K193" s="54" t="s">
        <v>465</v>
      </c>
      <c r="L193" s="9"/>
      <c r="M193" s="9" t="s">
        <v>464</v>
      </c>
      <c r="N193" s="311"/>
      <c r="O193" s="311"/>
      <c r="P193" s="311"/>
      <c r="Q193" s="311"/>
      <c r="R193" s="311"/>
      <c r="S193" s="311"/>
    </row>
    <row r="194" spans="1:19" ht="90" x14ac:dyDescent="0.25">
      <c r="A194" s="328"/>
      <c r="B194" s="332"/>
      <c r="C194" s="328"/>
      <c r="D194" s="333"/>
      <c r="E194" s="9" t="s">
        <v>285</v>
      </c>
      <c r="F194" s="9" t="s">
        <v>287</v>
      </c>
      <c r="G194" s="9" t="s">
        <v>286</v>
      </c>
      <c r="H194" s="9"/>
      <c r="I194" s="9"/>
      <c r="J194" s="9"/>
      <c r="K194" s="124" t="s">
        <v>572</v>
      </c>
      <c r="L194" s="9"/>
      <c r="M194" s="9" t="s">
        <v>449</v>
      </c>
      <c r="N194" s="311"/>
      <c r="O194" s="311"/>
      <c r="P194" s="311"/>
      <c r="Q194" s="311"/>
      <c r="R194" s="311"/>
      <c r="S194" s="311"/>
    </row>
    <row r="195" spans="1:19" ht="105" x14ac:dyDescent="0.25">
      <c r="A195" s="327">
        <v>2531</v>
      </c>
      <c r="B195" s="307" t="s">
        <v>291</v>
      </c>
      <c r="C195" s="327">
        <v>915</v>
      </c>
      <c r="D195" s="330" t="s">
        <v>281</v>
      </c>
      <c r="E195" s="9" t="s">
        <v>20</v>
      </c>
      <c r="F195" s="9" t="s">
        <v>292</v>
      </c>
      <c r="G195" s="9" t="s">
        <v>85</v>
      </c>
      <c r="H195" s="9" t="s">
        <v>223</v>
      </c>
      <c r="I195" s="9" t="s">
        <v>296</v>
      </c>
      <c r="J195" s="9" t="s">
        <v>224</v>
      </c>
      <c r="K195" s="54" t="s">
        <v>297</v>
      </c>
      <c r="L195" s="9"/>
      <c r="M195" s="9" t="s">
        <v>290</v>
      </c>
      <c r="N195" s="309">
        <f>132763963-N190</f>
        <v>64724026</v>
      </c>
      <c r="O195" s="309">
        <f>132763963-O190</f>
        <v>64724026</v>
      </c>
      <c r="P195" s="309">
        <f>200866033-P190</f>
        <v>127706461</v>
      </c>
      <c r="Q195" s="309">
        <f>173072255-Q190</f>
        <v>112604078</v>
      </c>
      <c r="R195" s="309">
        <f>177784595-R190</f>
        <v>114904078</v>
      </c>
      <c r="S195" s="309">
        <v>114904078</v>
      </c>
    </row>
    <row r="196" spans="1:19" ht="150" x14ac:dyDescent="0.25">
      <c r="A196" s="328"/>
      <c r="B196" s="332"/>
      <c r="C196" s="328"/>
      <c r="D196" s="333"/>
      <c r="E196" s="9" t="s">
        <v>293</v>
      </c>
      <c r="F196" s="9" t="s">
        <v>294</v>
      </c>
      <c r="G196" s="9" t="s">
        <v>295</v>
      </c>
      <c r="H196" s="9"/>
      <c r="I196" s="9"/>
      <c r="J196" s="9"/>
      <c r="K196" s="54" t="s">
        <v>298</v>
      </c>
      <c r="L196" s="9"/>
      <c r="M196" s="9" t="s">
        <v>290</v>
      </c>
      <c r="N196" s="311"/>
      <c r="O196" s="311"/>
      <c r="P196" s="311"/>
      <c r="Q196" s="311"/>
      <c r="R196" s="311"/>
      <c r="S196" s="311"/>
    </row>
    <row r="197" spans="1:19" ht="150" x14ac:dyDescent="0.25">
      <c r="A197" s="328"/>
      <c r="B197" s="332"/>
      <c r="C197" s="328"/>
      <c r="D197" s="333"/>
      <c r="E197" s="9"/>
      <c r="F197" s="9"/>
      <c r="G197" s="9"/>
      <c r="H197" s="9"/>
      <c r="I197" s="9"/>
      <c r="J197" s="9"/>
      <c r="K197" s="124" t="s">
        <v>501</v>
      </c>
      <c r="L197" s="23"/>
      <c r="M197" s="23" t="s">
        <v>502</v>
      </c>
      <c r="N197" s="311"/>
      <c r="O197" s="311"/>
      <c r="P197" s="311"/>
      <c r="Q197" s="311"/>
      <c r="R197" s="311"/>
      <c r="S197" s="311"/>
    </row>
    <row r="198" spans="1:19" ht="150" x14ac:dyDescent="0.25">
      <c r="A198" s="329"/>
      <c r="B198" s="308"/>
      <c r="C198" s="329"/>
      <c r="D198" s="331"/>
      <c r="E198" s="9"/>
      <c r="F198" s="9"/>
      <c r="G198" s="9"/>
      <c r="H198" s="9"/>
      <c r="I198" s="9"/>
      <c r="J198" s="9"/>
      <c r="K198" s="54" t="s">
        <v>299</v>
      </c>
      <c r="L198" s="9"/>
      <c r="M198" s="9" t="s">
        <v>290</v>
      </c>
      <c r="N198" s="311"/>
      <c r="O198" s="311"/>
      <c r="P198" s="311"/>
      <c r="Q198" s="311"/>
      <c r="R198" s="311"/>
      <c r="S198" s="311"/>
    </row>
    <row r="199" spans="1:19" s="19" customFormat="1" ht="114" x14ac:dyDescent="0.2">
      <c r="A199" s="65">
        <v>2600</v>
      </c>
      <c r="B199" s="24" t="s">
        <v>428</v>
      </c>
      <c r="C199" s="15"/>
      <c r="D199" s="22"/>
      <c r="E199" s="15"/>
      <c r="F199" s="15"/>
      <c r="G199" s="15"/>
      <c r="H199" s="15"/>
      <c r="I199" s="15"/>
      <c r="J199" s="15"/>
      <c r="K199" s="196"/>
      <c r="L199" s="15"/>
      <c r="M199" s="15"/>
      <c r="N199" s="172">
        <f t="shared" ref="N199:S199" si="29">N200</f>
        <v>5175183</v>
      </c>
      <c r="O199" s="172">
        <f t="shared" si="29"/>
        <v>5110166.8</v>
      </c>
      <c r="P199" s="172">
        <f t="shared" si="29"/>
        <v>5917944</v>
      </c>
      <c r="Q199" s="172">
        <f t="shared" si="29"/>
        <v>5181722</v>
      </c>
      <c r="R199" s="172">
        <f t="shared" si="29"/>
        <v>5181722</v>
      </c>
      <c r="S199" s="172">
        <f t="shared" si="29"/>
        <v>5181722</v>
      </c>
    </row>
    <row r="200" spans="1:19" ht="90" x14ac:dyDescent="0.25">
      <c r="A200" s="327" t="s">
        <v>418</v>
      </c>
      <c r="B200" s="307" t="s">
        <v>481</v>
      </c>
      <c r="C200" s="327">
        <v>915</v>
      </c>
      <c r="D200" s="330" t="s">
        <v>278</v>
      </c>
      <c r="E200" s="9" t="s">
        <v>20</v>
      </c>
      <c r="F200" s="9" t="s">
        <v>33</v>
      </c>
      <c r="G200" s="8" t="s">
        <v>21</v>
      </c>
      <c r="H200" s="9" t="s">
        <v>24</v>
      </c>
      <c r="I200" s="10" t="s">
        <v>25</v>
      </c>
      <c r="J200" s="8" t="s">
        <v>26</v>
      </c>
      <c r="K200" s="54" t="s">
        <v>29</v>
      </c>
      <c r="L200" s="4"/>
      <c r="M200" s="9" t="s">
        <v>30</v>
      </c>
      <c r="N200" s="309">
        <v>5175183</v>
      </c>
      <c r="O200" s="309">
        <v>5110166.8</v>
      </c>
      <c r="P200" s="309">
        <v>5917944</v>
      </c>
      <c r="Q200" s="309">
        <v>5181722</v>
      </c>
      <c r="R200" s="309">
        <v>5181722</v>
      </c>
      <c r="S200" s="309">
        <v>5181722</v>
      </c>
    </row>
    <row r="201" spans="1:19" ht="285" x14ac:dyDescent="0.25">
      <c r="A201" s="329"/>
      <c r="B201" s="308"/>
      <c r="C201" s="329"/>
      <c r="D201" s="331"/>
      <c r="E201" s="8" t="s">
        <v>22</v>
      </c>
      <c r="F201" s="6" t="s">
        <v>25</v>
      </c>
      <c r="G201" s="8" t="s">
        <v>23</v>
      </c>
      <c r="H201" s="9" t="s">
        <v>27</v>
      </c>
      <c r="I201" s="10" t="s">
        <v>25</v>
      </c>
      <c r="J201" s="9" t="s">
        <v>28</v>
      </c>
      <c r="K201" s="54" t="s">
        <v>279</v>
      </c>
      <c r="L201" s="10"/>
      <c r="M201" s="9" t="s">
        <v>261</v>
      </c>
      <c r="N201" s="310"/>
      <c r="O201" s="310"/>
      <c r="P201" s="310"/>
      <c r="Q201" s="310"/>
      <c r="R201" s="310"/>
      <c r="S201" s="310"/>
    </row>
    <row r="202" spans="1:19" s="19" customFormat="1" ht="28.5" x14ac:dyDescent="0.2">
      <c r="A202" s="29"/>
      <c r="B202" s="28" t="s">
        <v>300</v>
      </c>
      <c r="C202" s="29">
        <v>916</v>
      </c>
      <c r="D202" s="30"/>
      <c r="E202" s="28"/>
      <c r="F202" s="28"/>
      <c r="G202" s="28"/>
      <c r="H202" s="28"/>
      <c r="I202" s="28"/>
      <c r="J202" s="28"/>
      <c r="K202" s="197"/>
      <c r="L202" s="28"/>
      <c r="M202" s="28"/>
      <c r="N202" s="178">
        <f t="shared" ref="N202:S202" si="30">N203+N211</f>
        <v>17520641</v>
      </c>
      <c r="O202" s="178">
        <f t="shared" si="30"/>
        <v>17378952.140000001</v>
      </c>
      <c r="P202" s="178">
        <f t="shared" si="30"/>
        <v>26764797</v>
      </c>
      <c r="Q202" s="178">
        <f t="shared" si="30"/>
        <v>19616272</v>
      </c>
      <c r="R202" s="178">
        <f t="shared" si="30"/>
        <v>20116272</v>
      </c>
      <c r="S202" s="178">
        <f t="shared" si="30"/>
        <v>20116272</v>
      </c>
    </row>
    <row r="203" spans="1:19" s="19" customFormat="1" ht="57" x14ac:dyDescent="0.2">
      <c r="A203" s="81">
        <v>2500</v>
      </c>
      <c r="B203" s="89" t="s">
        <v>427</v>
      </c>
      <c r="C203" s="31"/>
      <c r="D203" s="32"/>
      <c r="E203" s="31"/>
      <c r="F203" s="31"/>
      <c r="G203" s="31"/>
      <c r="H203" s="31"/>
      <c r="I203" s="31"/>
      <c r="J203" s="31"/>
      <c r="K203" s="201"/>
      <c r="L203" s="31"/>
      <c r="M203" s="31"/>
      <c r="N203" s="182">
        <f t="shared" ref="N203:S203" si="31">N207+N209+N204</f>
        <v>1001550.21</v>
      </c>
      <c r="O203" s="182">
        <f t="shared" si="31"/>
        <v>993550</v>
      </c>
      <c r="P203" s="182">
        <f t="shared" si="31"/>
        <v>7860000</v>
      </c>
      <c r="Q203" s="182">
        <f t="shared" si="31"/>
        <v>2700000</v>
      </c>
      <c r="R203" s="182">
        <f t="shared" si="31"/>
        <v>3200000</v>
      </c>
      <c r="S203" s="182">
        <f t="shared" si="31"/>
        <v>3200000</v>
      </c>
    </row>
    <row r="204" spans="1:19" ht="225" x14ac:dyDescent="0.25">
      <c r="A204" s="327">
        <v>2504</v>
      </c>
      <c r="B204" s="307" t="s">
        <v>84</v>
      </c>
      <c r="C204" s="338">
        <v>916</v>
      </c>
      <c r="D204" s="341" t="s">
        <v>34</v>
      </c>
      <c r="E204" s="9" t="s">
        <v>20</v>
      </c>
      <c r="F204" s="9" t="s">
        <v>88</v>
      </c>
      <c r="G204" s="9" t="s">
        <v>85</v>
      </c>
      <c r="H204" s="9" t="s">
        <v>95</v>
      </c>
      <c r="I204" s="9" t="s">
        <v>48</v>
      </c>
      <c r="J204" s="9" t="s">
        <v>26</v>
      </c>
      <c r="K204" s="54" t="s">
        <v>366</v>
      </c>
      <c r="L204" s="9"/>
      <c r="M204" s="9" t="s">
        <v>100</v>
      </c>
      <c r="N204" s="312">
        <v>16000</v>
      </c>
      <c r="O204" s="312">
        <v>16000</v>
      </c>
      <c r="P204" s="309">
        <v>100000</v>
      </c>
      <c r="Q204" s="309">
        <v>100000</v>
      </c>
      <c r="R204" s="312">
        <v>100000</v>
      </c>
      <c r="S204" s="312">
        <v>100000</v>
      </c>
    </row>
    <row r="205" spans="1:19" ht="90" x14ac:dyDescent="0.25">
      <c r="A205" s="328"/>
      <c r="B205" s="332"/>
      <c r="C205" s="339"/>
      <c r="D205" s="342"/>
      <c r="E205" s="9" t="s">
        <v>86</v>
      </c>
      <c r="F205" s="9" t="s">
        <v>87</v>
      </c>
      <c r="G205" s="9" t="s">
        <v>89</v>
      </c>
      <c r="H205" s="9" t="s">
        <v>96</v>
      </c>
      <c r="I205" s="9" t="s">
        <v>48</v>
      </c>
      <c r="J205" s="9" t="s">
        <v>97</v>
      </c>
      <c r="K205" s="54" t="s">
        <v>466</v>
      </c>
      <c r="L205" s="9"/>
      <c r="M205" s="9" t="s">
        <v>467</v>
      </c>
      <c r="N205" s="313"/>
      <c r="O205" s="313"/>
      <c r="P205" s="311"/>
      <c r="Q205" s="311"/>
      <c r="R205" s="313"/>
      <c r="S205" s="313"/>
    </row>
    <row r="206" spans="1:19" ht="180" x14ac:dyDescent="0.25">
      <c r="A206" s="328"/>
      <c r="B206" s="332"/>
      <c r="C206" s="340"/>
      <c r="D206" s="343"/>
      <c r="E206" s="9" t="s">
        <v>90</v>
      </c>
      <c r="F206" s="9" t="s">
        <v>91</v>
      </c>
      <c r="G206" s="9" t="s">
        <v>92</v>
      </c>
      <c r="H206" s="9" t="s">
        <v>98</v>
      </c>
      <c r="I206" s="9" t="s">
        <v>48</v>
      </c>
      <c r="J206" s="9" t="s">
        <v>99</v>
      </c>
      <c r="K206" s="54" t="s">
        <v>103</v>
      </c>
      <c r="L206" s="9"/>
      <c r="M206" s="9" t="s">
        <v>104</v>
      </c>
      <c r="N206" s="314"/>
      <c r="O206" s="314"/>
      <c r="P206" s="310"/>
      <c r="Q206" s="310"/>
      <c r="R206" s="314"/>
      <c r="S206" s="314"/>
    </row>
    <row r="207" spans="1:19" ht="361.5" customHeight="1" x14ac:dyDescent="0.25">
      <c r="A207" s="327">
        <v>2544</v>
      </c>
      <c r="B207" s="307" t="s">
        <v>480</v>
      </c>
      <c r="C207" s="327">
        <v>916</v>
      </c>
      <c r="D207" s="330" t="s">
        <v>110</v>
      </c>
      <c r="E207" s="307" t="s">
        <v>20</v>
      </c>
      <c r="F207" s="307" t="s">
        <v>111</v>
      </c>
      <c r="G207" s="307" t="s">
        <v>85</v>
      </c>
      <c r="H207" s="9" t="s">
        <v>112</v>
      </c>
      <c r="I207" s="9" t="s">
        <v>113</v>
      </c>
      <c r="J207" s="9" t="s">
        <v>114</v>
      </c>
      <c r="K207" s="54" t="s">
        <v>29</v>
      </c>
      <c r="L207" s="9"/>
      <c r="M207" s="9" t="s">
        <v>37</v>
      </c>
      <c r="N207" s="309">
        <v>836050.21</v>
      </c>
      <c r="O207" s="309">
        <v>836050</v>
      </c>
      <c r="P207" s="309">
        <v>7260000</v>
      </c>
      <c r="Q207" s="309">
        <v>2100000</v>
      </c>
      <c r="R207" s="309">
        <v>2600000</v>
      </c>
      <c r="S207" s="309">
        <v>2600000</v>
      </c>
    </row>
    <row r="208" spans="1:19" ht="409.5" customHeight="1" x14ac:dyDescent="0.25">
      <c r="A208" s="329"/>
      <c r="B208" s="308"/>
      <c r="C208" s="329"/>
      <c r="D208" s="331"/>
      <c r="E208" s="308"/>
      <c r="F208" s="308"/>
      <c r="G208" s="308"/>
      <c r="H208" s="9"/>
      <c r="I208" s="9"/>
      <c r="J208" s="9"/>
      <c r="K208" s="54" t="s">
        <v>115</v>
      </c>
      <c r="L208" s="9"/>
      <c r="M208" s="9" t="s">
        <v>116</v>
      </c>
      <c r="N208" s="310"/>
      <c r="O208" s="310"/>
      <c r="P208" s="310"/>
      <c r="Q208" s="310"/>
      <c r="R208" s="310"/>
      <c r="S208" s="310"/>
    </row>
    <row r="209" spans="1:19" ht="90" x14ac:dyDescent="0.25">
      <c r="A209" s="327">
        <v>2545</v>
      </c>
      <c r="B209" s="307" t="s">
        <v>493</v>
      </c>
      <c r="C209" s="327">
        <v>916</v>
      </c>
      <c r="D209" s="330" t="s">
        <v>34</v>
      </c>
      <c r="E209" s="9" t="s">
        <v>20</v>
      </c>
      <c r="F209" s="9" t="s">
        <v>47</v>
      </c>
      <c r="G209" s="9" t="s">
        <v>85</v>
      </c>
      <c r="H209" s="327"/>
      <c r="I209" s="327"/>
      <c r="J209" s="327"/>
      <c r="K209" s="202" t="s">
        <v>304</v>
      </c>
      <c r="L209" s="9"/>
      <c r="M209" s="9" t="s">
        <v>305</v>
      </c>
      <c r="N209" s="309">
        <v>149500</v>
      </c>
      <c r="O209" s="309">
        <v>141500</v>
      </c>
      <c r="P209" s="309">
        <v>500000</v>
      </c>
      <c r="Q209" s="309">
        <v>500000</v>
      </c>
      <c r="R209" s="309">
        <v>500000</v>
      </c>
      <c r="S209" s="309">
        <v>500000</v>
      </c>
    </row>
    <row r="210" spans="1:19" ht="45" x14ac:dyDescent="0.25">
      <c r="A210" s="329"/>
      <c r="B210" s="308"/>
      <c r="C210" s="329"/>
      <c r="D210" s="331"/>
      <c r="E210" s="9" t="s">
        <v>301</v>
      </c>
      <c r="F210" s="9" t="s">
        <v>302</v>
      </c>
      <c r="G210" s="9" t="s">
        <v>303</v>
      </c>
      <c r="H210" s="329"/>
      <c r="I210" s="329"/>
      <c r="J210" s="329"/>
      <c r="K210" s="203"/>
      <c r="L210" s="9"/>
      <c r="M210" s="9"/>
      <c r="N210" s="310"/>
      <c r="O210" s="310"/>
      <c r="P210" s="310"/>
      <c r="Q210" s="310"/>
      <c r="R210" s="310"/>
      <c r="S210" s="310"/>
    </row>
    <row r="211" spans="1:19" s="19" customFormat="1" ht="114" x14ac:dyDescent="0.2">
      <c r="A211" s="65">
        <v>2600</v>
      </c>
      <c r="B211" s="24" t="s">
        <v>428</v>
      </c>
      <c r="C211" s="31"/>
      <c r="D211" s="32"/>
      <c r="E211" s="31"/>
      <c r="F211" s="31"/>
      <c r="G211" s="31"/>
      <c r="H211" s="31"/>
      <c r="I211" s="31"/>
      <c r="J211" s="31"/>
      <c r="K211" s="201"/>
      <c r="L211" s="31"/>
      <c r="M211" s="31"/>
      <c r="N211" s="182">
        <f t="shared" ref="N211:S211" si="32">N212</f>
        <v>16519090.789999999</v>
      </c>
      <c r="O211" s="182">
        <f t="shared" si="32"/>
        <v>16385402.140000001</v>
      </c>
      <c r="P211" s="182">
        <f t="shared" si="32"/>
        <v>18904797</v>
      </c>
      <c r="Q211" s="182">
        <f t="shared" si="32"/>
        <v>16916272</v>
      </c>
      <c r="R211" s="182">
        <f t="shared" si="32"/>
        <v>16916272</v>
      </c>
      <c r="S211" s="182">
        <f t="shared" si="32"/>
        <v>16916272</v>
      </c>
    </row>
    <row r="212" spans="1:19" ht="90" x14ac:dyDescent="0.25">
      <c r="A212" s="327" t="s">
        <v>418</v>
      </c>
      <c r="B212" s="307" t="s">
        <v>494</v>
      </c>
      <c r="C212" s="327">
        <v>916</v>
      </c>
      <c r="D212" s="17" t="s">
        <v>34</v>
      </c>
      <c r="E212" s="9" t="s">
        <v>20</v>
      </c>
      <c r="F212" s="9" t="s">
        <v>33</v>
      </c>
      <c r="G212" s="8" t="s">
        <v>21</v>
      </c>
      <c r="H212" s="9" t="s">
        <v>24</v>
      </c>
      <c r="I212" s="10" t="s">
        <v>25</v>
      </c>
      <c r="J212" s="8" t="s">
        <v>26</v>
      </c>
      <c r="K212" s="54" t="s">
        <v>29</v>
      </c>
      <c r="L212" s="9"/>
      <c r="M212" s="9" t="s">
        <v>30</v>
      </c>
      <c r="N212" s="309">
        <v>16519090.789999999</v>
      </c>
      <c r="O212" s="309">
        <v>16385402.140000001</v>
      </c>
      <c r="P212" s="309">
        <v>18904797</v>
      </c>
      <c r="Q212" s="309">
        <v>16916272</v>
      </c>
      <c r="R212" s="309">
        <v>16916272</v>
      </c>
      <c r="S212" s="309">
        <v>16916272</v>
      </c>
    </row>
    <row r="213" spans="1:19" ht="235.5" customHeight="1" x14ac:dyDescent="0.25">
      <c r="A213" s="329"/>
      <c r="B213" s="308"/>
      <c r="C213" s="329"/>
      <c r="D213" s="17"/>
      <c r="E213" s="8" t="s">
        <v>22</v>
      </c>
      <c r="F213" s="6" t="s">
        <v>25</v>
      </c>
      <c r="G213" s="8" t="s">
        <v>23</v>
      </c>
      <c r="H213" s="236" t="s">
        <v>27</v>
      </c>
      <c r="I213" s="10" t="s">
        <v>25</v>
      </c>
      <c r="J213" s="9" t="s">
        <v>28</v>
      </c>
      <c r="K213" s="54" t="s">
        <v>468</v>
      </c>
      <c r="L213" s="9"/>
      <c r="M213" s="9" t="s">
        <v>467</v>
      </c>
      <c r="N213" s="310"/>
      <c r="O213" s="310"/>
      <c r="P213" s="310"/>
      <c r="Q213" s="310"/>
      <c r="R213" s="310"/>
      <c r="S213" s="310"/>
    </row>
    <row r="214" spans="1:19" s="19" customFormat="1" ht="14.25" x14ac:dyDescent="0.2">
      <c r="A214" s="29"/>
      <c r="B214" s="28" t="s">
        <v>307</v>
      </c>
      <c r="C214" s="29">
        <v>917</v>
      </c>
      <c r="D214" s="30"/>
      <c r="E214" s="28"/>
      <c r="F214" s="28"/>
      <c r="G214" s="28"/>
      <c r="H214" s="28"/>
      <c r="I214" s="28"/>
      <c r="J214" s="28"/>
      <c r="K214" s="197"/>
      <c r="L214" s="28"/>
      <c r="M214" s="28"/>
      <c r="N214" s="178">
        <f>N215</f>
        <v>10421491</v>
      </c>
      <c r="O214" s="178">
        <f t="shared" ref="O214:S215" si="33">O215</f>
        <v>10421491</v>
      </c>
      <c r="P214" s="178">
        <f t="shared" si="33"/>
        <v>11331629</v>
      </c>
      <c r="Q214" s="178">
        <f t="shared" si="33"/>
        <v>10098450</v>
      </c>
      <c r="R214" s="178">
        <f t="shared" si="33"/>
        <v>10180450</v>
      </c>
      <c r="S214" s="178">
        <f t="shared" si="33"/>
        <v>10180450</v>
      </c>
    </row>
    <row r="215" spans="1:19" s="19" customFormat="1" ht="114" x14ac:dyDescent="0.2">
      <c r="A215" s="65">
        <v>2600</v>
      </c>
      <c r="B215" s="24" t="s">
        <v>428</v>
      </c>
      <c r="C215" s="15"/>
      <c r="D215" s="22"/>
      <c r="E215" s="15"/>
      <c r="F215" s="15"/>
      <c r="G215" s="15"/>
      <c r="H215" s="15"/>
      <c r="I215" s="15"/>
      <c r="J215" s="15"/>
      <c r="K215" s="196"/>
      <c r="L215" s="15"/>
      <c r="M215" s="15"/>
      <c r="N215" s="172">
        <f>N216</f>
        <v>10421491</v>
      </c>
      <c r="O215" s="172">
        <f t="shared" si="33"/>
        <v>10421491</v>
      </c>
      <c r="P215" s="172">
        <f t="shared" si="33"/>
        <v>11331629</v>
      </c>
      <c r="Q215" s="172">
        <f t="shared" si="33"/>
        <v>10098450</v>
      </c>
      <c r="R215" s="172">
        <f t="shared" si="33"/>
        <v>10180450</v>
      </c>
      <c r="S215" s="172">
        <f t="shared" si="33"/>
        <v>10180450</v>
      </c>
    </row>
    <row r="216" spans="1:19" ht="90" x14ac:dyDescent="0.25">
      <c r="A216" s="327" t="s">
        <v>418</v>
      </c>
      <c r="B216" s="307" t="s">
        <v>496</v>
      </c>
      <c r="C216" s="327">
        <v>917</v>
      </c>
      <c r="D216" s="330" t="s">
        <v>308</v>
      </c>
      <c r="E216" s="9" t="s">
        <v>20</v>
      </c>
      <c r="F216" s="9" t="s">
        <v>33</v>
      </c>
      <c r="G216" s="8" t="s">
        <v>21</v>
      </c>
      <c r="H216" s="9" t="s">
        <v>24</v>
      </c>
      <c r="I216" s="10" t="s">
        <v>25</v>
      </c>
      <c r="J216" s="8" t="s">
        <v>26</v>
      </c>
      <c r="K216" s="54" t="s">
        <v>29</v>
      </c>
      <c r="L216" s="9"/>
      <c r="M216" s="9" t="s">
        <v>37</v>
      </c>
      <c r="N216" s="309">
        <v>10421491</v>
      </c>
      <c r="O216" s="309">
        <v>10421491</v>
      </c>
      <c r="P216" s="309">
        <v>11331629</v>
      </c>
      <c r="Q216" s="309">
        <v>10098450</v>
      </c>
      <c r="R216" s="309">
        <v>10180450</v>
      </c>
      <c r="S216" s="309">
        <v>10180450</v>
      </c>
    </row>
    <row r="217" spans="1:19" ht="231.75" customHeight="1" x14ac:dyDescent="0.25">
      <c r="A217" s="329"/>
      <c r="B217" s="308"/>
      <c r="C217" s="329"/>
      <c r="D217" s="331"/>
      <c r="E217" s="8" t="s">
        <v>22</v>
      </c>
      <c r="F217" s="6" t="s">
        <v>25</v>
      </c>
      <c r="G217" s="8" t="s">
        <v>23</v>
      </c>
      <c r="H217" s="9" t="s">
        <v>27</v>
      </c>
      <c r="I217" s="10" t="s">
        <v>25</v>
      </c>
      <c r="J217" s="9" t="s">
        <v>28</v>
      </c>
      <c r="K217" s="124" t="s">
        <v>588</v>
      </c>
      <c r="L217" s="9"/>
      <c r="M217" s="9" t="s">
        <v>589</v>
      </c>
      <c r="N217" s="310"/>
      <c r="O217" s="310"/>
      <c r="P217" s="310"/>
      <c r="Q217" s="310"/>
      <c r="R217" s="310"/>
      <c r="S217" s="310"/>
    </row>
    <row r="218" spans="1:19" s="19" customFormat="1" ht="14.25" x14ac:dyDescent="0.2">
      <c r="A218" s="29"/>
      <c r="B218" s="28" t="s">
        <v>310</v>
      </c>
      <c r="C218" s="29">
        <v>918</v>
      </c>
      <c r="D218" s="30"/>
      <c r="E218" s="28"/>
      <c r="F218" s="28"/>
      <c r="G218" s="28"/>
      <c r="H218" s="28"/>
      <c r="I218" s="28"/>
      <c r="J218" s="28"/>
      <c r="K218" s="197"/>
      <c r="L218" s="28"/>
      <c r="M218" s="28"/>
      <c r="N218" s="178">
        <f>N219</f>
        <v>2848959</v>
      </c>
      <c r="O218" s="178">
        <f t="shared" ref="O218:S219" si="34">O219</f>
        <v>2848959</v>
      </c>
      <c r="P218" s="178">
        <f t="shared" si="34"/>
        <v>3156832</v>
      </c>
      <c r="Q218" s="178">
        <f t="shared" si="34"/>
        <v>2781736</v>
      </c>
      <c r="R218" s="178">
        <f t="shared" si="34"/>
        <v>2781736</v>
      </c>
      <c r="S218" s="178">
        <f t="shared" si="34"/>
        <v>2781736</v>
      </c>
    </row>
    <row r="219" spans="1:19" s="19" customFormat="1" ht="114" x14ac:dyDescent="0.2">
      <c r="A219" s="65">
        <v>2600</v>
      </c>
      <c r="B219" s="24" t="s">
        <v>428</v>
      </c>
      <c r="C219" s="15"/>
      <c r="D219" s="22"/>
      <c r="E219" s="15"/>
      <c r="F219" s="15"/>
      <c r="G219" s="15"/>
      <c r="H219" s="15"/>
      <c r="I219" s="15"/>
      <c r="J219" s="15"/>
      <c r="K219" s="196"/>
      <c r="L219" s="15"/>
      <c r="M219" s="15"/>
      <c r="N219" s="172">
        <f>N220</f>
        <v>2848959</v>
      </c>
      <c r="O219" s="172">
        <f t="shared" si="34"/>
        <v>2848959</v>
      </c>
      <c r="P219" s="172">
        <f t="shared" si="34"/>
        <v>3156832</v>
      </c>
      <c r="Q219" s="172">
        <f t="shared" si="34"/>
        <v>2781736</v>
      </c>
      <c r="R219" s="172">
        <f t="shared" si="34"/>
        <v>2781736</v>
      </c>
      <c r="S219" s="172">
        <f t="shared" si="34"/>
        <v>2781736</v>
      </c>
    </row>
    <row r="220" spans="1:19" ht="90" x14ac:dyDescent="0.25">
      <c r="A220" s="327" t="s">
        <v>418</v>
      </c>
      <c r="B220" s="307" t="s">
        <v>495</v>
      </c>
      <c r="C220" s="327">
        <v>918</v>
      </c>
      <c r="D220" s="330" t="s">
        <v>309</v>
      </c>
      <c r="E220" s="9" t="s">
        <v>20</v>
      </c>
      <c r="F220" s="9" t="s">
        <v>33</v>
      </c>
      <c r="G220" s="8" t="s">
        <v>21</v>
      </c>
      <c r="H220" s="9" t="s">
        <v>24</v>
      </c>
      <c r="I220" s="10" t="s">
        <v>25</v>
      </c>
      <c r="J220" s="8" t="s">
        <v>26</v>
      </c>
      <c r="K220" s="54" t="s">
        <v>29</v>
      </c>
      <c r="L220" s="9"/>
      <c r="M220" s="9"/>
      <c r="N220" s="309">
        <v>2848959</v>
      </c>
      <c r="O220" s="309">
        <v>2848959</v>
      </c>
      <c r="P220" s="309">
        <v>3156832</v>
      </c>
      <c r="Q220" s="309">
        <v>2781736</v>
      </c>
      <c r="R220" s="309">
        <v>2781736</v>
      </c>
      <c r="S220" s="309">
        <v>2781736</v>
      </c>
    </row>
    <row r="221" spans="1:19" ht="285" x14ac:dyDescent="0.25">
      <c r="A221" s="329"/>
      <c r="B221" s="308"/>
      <c r="C221" s="329"/>
      <c r="D221" s="331"/>
      <c r="E221" s="8" t="s">
        <v>22</v>
      </c>
      <c r="F221" s="6" t="s">
        <v>25</v>
      </c>
      <c r="G221" s="8" t="s">
        <v>23</v>
      </c>
      <c r="H221" s="9" t="s">
        <v>27</v>
      </c>
      <c r="I221" s="10" t="s">
        <v>25</v>
      </c>
      <c r="J221" s="9" t="s">
        <v>28</v>
      </c>
      <c r="K221" s="54" t="s">
        <v>128</v>
      </c>
      <c r="L221" s="9"/>
      <c r="M221" s="9" t="s">
        <v>129</v>
      </c>
      <c r="N221" s="310"/>
      <c r="O221" s="310"/>
      <c r="P221" s="310"/>
      <c r="Q221" s="310"/>
      <c r="R221" s="310"/>
      <c r="S221" s="310"/>
    </row>
    <row r="222" spans="1:19" ht="26.25" customHeight="1" x14ac:dyDescent="0.25">
      <c r="A222" s="64">
        <v>2500</v>
      </c>
      <c r="B222" s="379" t="s">
        <v>362</v>
      </c>
      <c r="C222" s="380"/>
      <c r="D222" s="380"/>
      <c r="E222" s="380"/>
      <c r="F222" s="380"/>
      <c r="G222" s="380"/>
      <c r="H222" s="380"/>
      <c r="I222" s="380"/>
      <c r="J222" s="380"/>
      <c r="K222" s="380"/>
      <c r="L222" s="380"/>
      <c r="M222" s="381"/>
      <c r="N222" s="173">
        <f t="shared" ref="N222:S222" si="35">N10+N48+N65+N78+N88+N128+N164+N186+N203</f>
        <v>2186364150.5100002</v>
      </c>
      <c r="O222" s="173">
        <f t="shared" si="35"/>
        <v>2101621279.01</v>
      </c>
      <c r="P222" s="173">
        <f t="shared" si="35"/>
        <v>2173418640.6199999</v>
      </c>
      <c r="Q222" s="173">
        <f t="shared" si="35"/>
        <v>1756034239.25</v>
      </c>
      <c r="R222" s="173">
        <f t="shared" si="35"/>
        <v>1717294775.3699999</v>
      </c>
      <c r="S222" s="173">
        <f t="shared" si="35"/>
        <v>1522504667.6700001</v>
      </c>
    </row>
    <row r="223" spans="1:19" ht="33.75" customHeight="1" x14ac:dyDescent="0.25">
      <c r="A223" s="14">
        <v>2600</v>
      </c>
      <c r="B223" s="379" t="s">
        <v>361</v>
      </c>
      <c r="C223" s="380"/>
      <c r="D223" s="380"/>
      <c r="E223" s="380"/>
      <c r="F223" s="380"/>
      <c r="G223" s="380"/>
      <c r="H223" s="380"/>
      <c r="I223" s="380"/>
      <c r="J223" s="380"/>
      <c r="K223" s="380"/>
      <c r="L223" s="380"/>
      <c r="M223" s="381"/>
      <c r="N223" s="173">
        <f t="shared" ref="N223:S223" si="36">N26+N57+N67+N109+N155+N180+N199+N211+N215+N219</f>
        <v>379999797.55000001</v>
      </c>
      <c r="O223" s="173">
        <f t="shared" si="36"/>
        <v>377251022.88</v>
      </c>
      <c r="P223" s="173">
        <f t="shared" si="36"/>
        <v>385436078.22999996</v>
      </c>
      <c r="Q223" s="173">
        <f t="shared" si="36"/>
        <v>337774035.60000002</v>
      </c>
      <c r="R223" s="173">
        <f t="shared" si="36"/>
        <v>335762962.51999998</v>
      </c>
      <c r="S223" s="173">
        <f t="shared" si="36"/>
        <v>301761572.32999998</v>
      </c>
    </row>
    <row r="224" spans="1:19" ht="30" customHeight="1" x14ac:dyDescent="0.25">
      <c r="A224" s="65">
        <v>3100</v>
      </c>
      <c r="B224" s="379" t="s">
        <v>421</v>
      </c>
      <c r="C224" s="383"/>
      <c r="D224" s="383"/>
      <c r="E224" s="383"/>
      <c r="F224" s="383"/>
      <c r="G224" s="383"/>
      <c r="H224" s="383"/>
      <c r="I224" s="383"/>
      <c r="J224" s="383"/>
      <c r="K224" s="383"/>
      <c r="L224" s="383"/>
      <c r="M224" s="384"/>
      <c r="N224" s="169">
        <f t="shared" ref="N224:S224" si="37">N34</f>
        <v>31488</v>
      </c>
      <c r="O224" s="169">
        <f t="shared" si="37"/>
        <v>31488</v>
      </c>
      <c r="P224" s="169">
        <f t="shared" si="37"/>
        <v>37800</v>
      </c>
      <c r="Q224" s="169">
        <f t="shared" si="37"/>
        <v>920400</v>
      </c>
      <c r="R224" s="169">
        <f t="shared" si="37"/>
        <v>36300</v>
      </c>
      <c r="S224" s="169">
        <f t="shared" si="37"/>
        <v>0</v>
      </c>
    </row>
    <row r="225" spans="1:19" x14ac:dyDescent="0.25">
      <c r="A225" s="14">
        <v>3200</v>
      </c>
      <c r="B225" s="382" t="s">
        <v>497</v>
      </c>
      <c r="C225" s="382"/>
      <c r="D225" s="382"/>
      <c r="E225" s="382"/>
      <c r="F225" s="382"/>
      <c r="G225" s="382"/>
      <c r="H225" s="382"/>
      <c r="I225" s="382"/>
      <c r="J225" s="382"/>
      <c r="K225" s="382"/>
      <c r="L225" s="382"/>
      <c r="M225" s="382"/>
      <c r="N225" s="183">
        <f t="shared" ref="N225:S225" si="38">N36+N61+N160+N114</f>
        <v>224044218.31</v>
      </c>
      <c r="O225" s="183">
        <f t="shared" si="38"/>
        <v>210805270.14000002</v>
      </c>
      <c r="P225" s="183">
        <f t="shared" si="38"/>
        <v>204113516.31234869</v>
      </c>
      <c r="Q225" s="183">
        <f t="shared" si="38"/>
        <v>198554000</v>
      </c>
      <c r="R225" s="183">
        <f t="shared" si="38"/>
        <v>208826200</v>
      </c>
      <c r="S225" s="183">
        <f t="shared" si="38"/>
        <v>174416300</v>
      </c>
    </row>
    <row r="226" spans="1:19" x14ac:dyDescent="0.25">
      <c r="A226" s="14">
        <v>3400</v>
      </c>
      <c r="B226" s="379" t="s">
        <v>422</v>
      </c>
      <c r="C226" s="380"/>
      <c r="D226" s="380"/>
      <c r="E226" s="380"/>
      <c r="F226" s="380"/>
      <c r="G226" s="380"/>
      <c r="H226" s="380"/>
      <c r="I226" s="380"/>
      <c r="J226" s="380"/>
      <c r="K226" s="380"/>
      <c r="L226" s="380"/>
      <c r="M226" s="381"/>
      <c r="N226" s="183">
        <f t="shared" ref="N226:S226" si="39">N121</f>
        <v>1335852100</v>
      </c>
      <c r="O226" s="183">
        <f t="shared" si="39"/>
        <v>1335852100</v>
      </c>
      <c r="P226" s="183">
        <f t="shared" si="39"/>
        <v>1426643800</v>
      </c>
      <c r="Q226" s="183">
        <f t="shared" si="39"/>
        <v>1307785600</v>
      </c>
      <c r="R226" s="183">
        <f t="shared" si="39"/>
        <v>1307785600</v>
      </c>
      <c r="S226" s="183">
        <f t="shared" si="39"/>
        <v>1307785600</v>
      </c>
    </row>
    <row r="227" spans="1:19" ht="15.75" thickBot="1" x14ac:dyDescent="0.3">
      <c r="A227" s="150"/>
      <c r="B227" s="376" t="s">
        <v>320</v>
      </c>
      <c r="C227" s="377"/>
      <c r="D227" s="377"/>
      <c r="E227" s="377"/>
      <c r="F227" s="377"/>
      <c r="G227" s="377"/>
      <c r="H227" s="377"/>
      <c r="I227" s="377"/>
      <c r="J227" s="377"/>
      <c r="K227" s="377"/>
      <c r="L227" s="377"/>
      <c r="M227" s="378"/>
      <c r="N227" s="184">
        <f t="shared" ref="N227:S227" si="40">SUM(N222:N225)+N226</f>
        <v>4126291754.3700004</v>
      </c>
      <c r="O227" s="184">
        <f t="shared" si="40"/>
        <v>4025561160.0299997</v>
      </c>
      <c r="P227" s="184">
        <f t="shared" si="40"/>
        <v>4189649835.1623487</v>
      </c>
      <c r="Q227" s="184">
        <f t="shared" si="40"/>
        <v>3601068274.8499999</v>
      </c>
      <c r="R227" s="184">
        <f t="shared" si="40"/>
        <v>3569705837.8899999</v>
      </c>
      <c r="S227" s="184">
        <f t="shared" si="40"/>
        <v>3306468140</v>
      </c>
    </row>
    <row r="228" spans="1:19" x14ac:dyDescent="0.25">
      <c r="N228" s="93">
        <v>4126291754.3699999</v>
      </c>
      <c r="O228" s="93">
        <v>4025561160.0300002</v>
      </c>
      <c r="P228" s="93">
        <v>4189649835.1599998</v>
      </c>
      <c r="Q228" s="93">
        <v>3643068274.8499999</v>
      </c>
      <c r="R228" s="93">
        <v>3656705837.8899999</v>
      </c>
      <c r="S228" s="93">
        <v>3393468140</v>
      </c>
    </row>
    <row r="229" spans="1:19" x14ac:dyDescent="0.25">
      <c r="N229" s="93">
        <f t="shared" ref="N229:S229" si="41">N227-N228</f>
        <v>0</v>
      </c>
      <c r="O229" s="93">
        <f t="shared" si="41"/>
        <v>0</v>
      </c>
      <c r="P229" s="93">
        <f t="shared" si="41"/>
        <v>2.3488998413085938E-3</v>
      </c>
      <c r="Q229" s="93">
        <f t="shared" si="41"/>
        <v>-42000000</v>
      </c>
      <c r="R229" s="93">
        <f t="shared" si="41"/>
        <v>-87000000</v>
      </c>
      <c r="S229" s="93">
        <f t="shared" si="41"/>
        <v>-87000000</v>
      </c>
    </row>
    <row r="230" spans="1:19" x14ac:dyDescent="0.25">
      <c r="P230" s="93"/>
      <c r="Q230" s="93">
        <v>42000000</v>
      </c>
      <c r="R230" s="93">
        <v>87000000</v>
      </c>
    </row>
    <row r="231" spans="1:19" x14ac:dyDescent="0.25">
      <c r="Q231" s="93">
        <f>Q229+Q230</f>
        <v>0</v>
      </c>
      <c r="R231" s="93">
        <f>R229+R230</f>
        <v>0</v>
      </c>
    </row>
    <row r="232" spans="1:19" x14ac:dyDescent="0.25">
      <c r="A232" s="363" t="s">
        <v>457</v>
      </c>
      <c r="B232" s="363"/>
      <c r="C232" s="363"/>
      <c r="D232" s="363"/>
      <c r="E232" s="1" t="s">
        <v>458</v>
      </c>
    </row>
  </sheetData>
  <mergeCells count="576">
    <mergeCell ref="A232:D232"/>
    <mergeCell ref="B224:M224"/>
    <mergeCell ref="B226:M226"/>
    <mergeCell ref="H143:H144"/>
    <mergeCell ref="I143:I144"/>
    <mergeCell ref="D190:D194"/>
    <mergeCell ref="A183:A184"/>
    <mergeCell ref="B183:B184"/>
    <mergeCell ref="C183:C184"/>
    <mergeCell ref="D183:D184"/>
    <mergeCell ref="A187:A189"/>
    <mergeCell ref="B187:B189"/>
    <mergeCell ref="C187:C189"/>
    <mergeCell ref="A181:A182"/>
    <mergeCell ref="D187:D189"/>
    <mergeCell ref="E183:E184"/>
    <mergeCell ref="F183:F184"/>
    <mergeCell ref="G183:G184"/>
    <mergeCell ref="C195:C198"/>
    <mergeCell ref="D195:D198"/>
    <mergeCell ref="A172:A174"/>
    <mergeCell ref="B172:B174"/>
    <mergeCell ref="A158:A159"/>
    <mergeCell ref="B158:B159"/>
    <mergeCell ref="S187:S189"/>
    <mergeCell ref="N172:N174"/>
    <mergeCell ref="D166:D167"/>
    <mergeCell ref="B227:M227"/>
    <mergeCell ref="B222:M222"/>
    <mergeCell ref="O216:O217"/>
    <mergeCell ref="A212:A213"/>
    <mergeCell ref="N212:N213"/>
    <mergeCell ref="O212:O213"/>
    <mergeCell ref="B225:M225"/>
    <mergeCell ref="B223:M223"/>
    <mergeCell ref="C216:C217"/>
    <mergeCell ref="D216:D217"/>
    <mergeCell ref="B212:B213"/>
    <mergeCell ref="C212:C213"/>
    <mergeCell ref="B200:B201"/>
    <mergeCell ref="C200:C201"/>
    <mergeCell ref="C166:C167"/>
    <mergeCell ref="D220:D221"/>
    <mergeCell ref="H209:H210"/>
    <mergeCell ref="A190:A194"/>
    <mergeCell ref="B190:B194"/>
    <mergeCell ref="C190:C194"/>
    <mergeCell ref="O172:O174"/>
    <mergeCell ref="N151:N152"/>
    <mergeCell ref="N158:N159"/>
    <mergeCell ref="O151:O152"/>
    <mergeCell ref="N156:N157"/>
    <mergeCell ref="N183:N184"/>
    <mergeCell ref="N181:N182"/>
    <mergeCell ref="J143:J144"/>
    <mergeCell ref="N133:N135"/>
    <mergeCell ref="J141:J142"/>
    <mergeCell ref="N143:N144"/>
    <mergeCell ref="O148:O150"/>
    <mergeCell ref="N148:N150"/>
    <mergeCell ref="N145:N147"/>
    <mergeCell ref="J183:J184"/>
    <mergeCell ref="N175:N178"/>
    <mergeCell ref="E143:E144"/>
    <mergeCell ref="F143:F144"/>
    <mergeCell ref="G143:G144"/>
    <mergeCell ref="C124:C125"/>
    <mergeCell ref="E23:E25"/>
    <mergeCell ref="D49:D52"/>
    <mergeCell ref="C122:C123"/>
    <mergeCell ref="D122:D123"/>
    <mergeCell ref="D23:D25"/>
    <mergeCell ref="C58:C60"/>
    <mergeCell ref="D62:D63"/>
    <mergeCell ref="D58:D60"/>
    <mergeCell ref="F68:F69"/>
    <mergeCell ref="G68:G69"/>
    <mergeCell ref="F58:F59"/>
    <mergeCell ref="G58:G59"/>
    <mergeCell ref="D137:D138"/>
    <mergeCell ref="D133:D135"/>
    <mergeCell ref="G141:G142"/>
    <mergeCell ref="D139:D140"/>
    <mergeCell ref="D79:D81"/>
    <mergeCell ref="A4:B4"/>
    <mergeCell ref="N122:N123"/>
    <mergeCell ref="A137:A138"/>
    <mergeCell ref="A130:A132"/>
    <mergeCell ref="A133:A135"/>
    <mergeCell ref="B130:B132"/>
    <mergeCell ref="C133:C135"/>
    <mergeCell ref="D130:D132"/>
    <mergeCell ref="N137:N138"/>
    <mergeCell ref="A124:A125"/>
    <mergeCell ref="N124:N125"/>
    <mergeCell ref="C137:C138"/>
    <mergeCell ref="C130:C132"/>
    <mergeCell ref="D124:D125"/>
    <mergeCell ref="H124:H125"/>
    <mergeCell ref="I124:I125"/>
    <mergeCell ref="J124:J125"/>
    <mergeCell ref="B90:B94"/>
    <mergeCell ref="C90:C94"/>
    <mergeCell ref="B107:B108"/>
    <mergeCell ref="B124:B125"/>
    <mergeCell ref="A90:A94"/>
    <mergeCell ref="A79:A81"/>
    <mergeCell ref="C79:C81"/>
    <mergeCell ref="A3:B3"/>
    <mergeCell ref="A62:A63"/>
    <mergeCell ref="B62:B63"/>
    <mergeCell ref="C62:C63"/>
    <mergeCell ref="C72:C73"/>
    <mergeCell ref="D72:D73"/>
    <mergeCell ref="A11:A12"/>
    <mergeCell ref="B11:B12"/>
    <mergeCell ref="A68:A70"/>
    <mergeCell ref="B68:B70"/>
    <mergeCell ref="C68:C70"/>
    <mergeCell ref="D68:D70"/>
    <mergeCell ref="A42:A43"/>
    <mergeCell ref="B42:B43"/>
    <mergeCell ref="C42:C43"/>
    <mergeCell ref="D42:D43"/>
    <mergeCell ref="D11:D12"/>
    <mergeCell ref="A5:A7"/>
    <mergeCell ref="B5:B7"/>
    <mergeCell ref="C6:C7"/>
    <mergeCell ref="D6:D7"/>
    <mergeCell ref="A23:A25"/>
    <mergeCell ref="B23:B25"/>
    <mergeCell ref="C23:C25"/>
    <mergeCell ref="A82:A83"/>
    <mergeCell ref="J58:J59"/>
    <mergeCell ref="I72:I73"/>
    <mergeCell ref="J72:J73"/>
    <mergeCell ref="H82:H83"/>
    <mergeCell ref="J82:J83"/>
    <mergeCell ref="H68:H69"/>
    <mergeCell ref="I68:I69"/>
    <mergeCell ref="J68:J69"/>
    <mergeCell ref="H58:H59"/>
    <mergeCell ref="I58:I59"/>
    <mergeCell ref="I82:I83"/>
    <mergeCell ref="G72:G73"/>
    <mergeCell ref="H72:H73"/>
    <mergeCell ref="E72:E73"/>
    <mergeCell ref="E68:E69"/>
    <mergeCell ref="E58:E59"/>
    <mergeCell ref="H70:H71"/>
    <mergeCell ref="N58:N60"/>
    <mergeCell ref="O58:O60"/>
    <mergeCell ref="N68:N70"/>
    <mergeCell ref="O68:O70"/>
    <mergeCell ref="R58:R60"/>
    <mergeCell ref="P74:P76"/>
    <mergeCell ref="O74:O76"/>
    <mergeCell ref="O54:O55"/>
    <mergeCell ref="R68:R70"/>
    <mergeCell ref="R62:R63"/>
    <mergeCell ref="R74:R76"/>
    <mergeCell ref="N72:N73"/>
    <mergeCell ref="O72:O73"/>
    <mergeCell ref="P72:P73"/>
    <mergeCell ref="Q74:Q76"/>
    <mergeCell ref="N74:N76"/>
    <mergeCell ref="N49:N52"/>
    <mergeCell ref="A49:A52"/>
    <mergeCell ref="B49:B52"/>
    <mergeCell ref="C49:C52"/>
    <mergeCell ref="B54:B55"/>
    <mergeCell ref="C54:C55"/>
    <mergeCell ref="D54:D55"/>
    <mergeCell ref="B40:B41"/>
    <mergeCell ref="C40:C41"/>
    <mergeCell ref="D40:D41"/>
    <mergeCell ref="N44:N45"/>
    <mergeCell ref="N54:N55"/>
    <mergeCell ref="A54:A55"/>
    <mergeCell ref="A40:A41"/>
    <mergeCell ref="C2:P2"/>
    <mergeCell ref="K6:K7"/>
    <mergeCell ref="L6:L7"/>
    <mergeCell ref="M6:M7"/>
    <mergeCell ref="N6:O6"/>
    <mergeCell ref="C5:D5"/>
    <mergeCell ref="C11:C12"/>
    <mergeCell ref="O23:O25"/>
    <mergeCell ref="C15:C16"/>
    <mergeCell ref="D15:D16"/>
    <mergeCell ref="N5:S5"/>
    <mergeCell ref="E6:E7"/>
    <mergeCell ref="F6:F7"/>
    <mergeCell ref="G6:G7"/>
    <mergeCell ref="H6:H7"/>
    <mergeCell ref="I6:I7"/>
    <mergeCell ref="J6:J7"/>
    <mergeCell ref="E5:G5"/>
    <mergeCell ref="H5:J5"/>
    <mergeCell ref="K5:M5"/>
    <mergeCell ref="N11:N12"/>
    <mergeCell ref="O11:O12"/>
    <mergeCell ref="P11:P12"/>
    <mergeCell ref="Q11:Q12"/>
    <mergeCell ref="R11:R12"/>
    <mergeCell ref="Q6:S6"/>
    <mergeCell ref="F11:F12"/>
    <mergeCell ref="S11:S12"/>
    <mergeCell ref="G11:G12"/>
    <mergeCell ref="A175:A178"/>
    <mergeCell ref="B175:B178"/>
    <mergeCell ref="C175:C178"/>
    <mergeCell ref="D175:D178"/>
    <mergeCell ref="C172:C174"/>
    <mergeCell ref="D172:D174"/>
    <mergeCell ref="A139:A140"/>
    <mergeCell ref="B139:B140"/>
    <mergeCell ref="C139:C140"/>
    <mergeCell ref="A58:A60"/>
    <mergeCell ref="E141:E142"/>
    <mergeCell ref="D90:D94"/>
    <mergeCell ref="C148:C150"/>
    <mergeCell ref="D148:D150"/>
    <mergeCell ref="B141:B142"/>
    <mergeCell ref="A141:A142"/>
    <mergeCell ref="A145:A147"/>
    <mergeCell ref="A166:A167"/>
    <mergeCell ref="B166:B167"/>
    <mergeCell ref="H183:H184"/>
    <mergeCell ref="I183:I184"/>
    <mergeCell ref="B17:B19"/>
    <mergeCell ref="C17:C19"/>
    <mergeCell ref="D17:D19"/>
    <mergeCell ref="F29:F30"/>
    <mergeCell ref="B181:B182"/>
    <mergeCell ref="C181:C182"/>
    <mergeCell ref="D181:D182"/>
    <mergeCell ref="F141:F142"/>
    <mergeCell ref="F72:F73"/>
    <mergeCell ref="H141:H142"/>
    <mergeCell ref="I141:I142"/>
    <mergeCell ref="D145:D147"/>
    <mergeCell ref="E175:E178"/>
    <mergeCell ref="F175:F178"/>
    <mergeCell ref="G175:G178"/>
    <mergeCell ref="C82:C83"/>
    <mergeCell ref="D82:D83"/>
    <mergeCell ref="B133:B135"/>
    <mergeCell ref="B137:B138"/>
    <mergeCell ref="B58:B60"/>
    <mergeCell ref="B122:B123"/>
    <mergeCell ref="I122:I123"/>
    <mergeCell ref="C158:C159"/>
    <mergeCell ref="D158:D159"/>
    <mergeCell ref="A27:A28"/>
    <mergeCell ref="B27:B28"/>
    <mergeCell ref="C27:C28"/>
    <mergeCell ref="D27:D28"/>
    <mergeCell ref="B29:B30"/>
    <mergeCell ref="C29:C30"/>
    <mergeCell ref="A29:A30"/>
    <mergeCell ref="D29:D30"/>
    <mergeCell ref="A31:A32"/>
    <mergeCell ref="B31:B32"/>
    <mergeCell ref="C31:C32"/>
    <mergeCell ref="D31:D32"/>
    <mergeCell ref="B145:B147"/>
    <mergeCell ref="C141:C142"/>
    <mergeCell ref="C145:C147"/>
    <mergeCell ref="C151:C152"/>
    <mergeCell ref="B79:B81"/>
    <mergeCell ref="B82:B83"/>
    <mergeCell ref="A122:A123"/>
    <mergeCell ref="D141:D142"/>
    <mergeCell ref="D143:D144"/>
    <mergeCell ref="A143:A144"/>
    <mergeCell ref="D200:D201"/>
    <mergeCell ref="A200:A201"/>
    <mergeCell ref="A15:A16"/>
    <mergeCell ref="B15:B16"/>
    <mergeCell ref="A17:A19"/>
    <mergeCell ref="A220:A221"/>
    <mergeCell ref="B220:B221"/>
    <mergeCell ref="C220:C221"/>
    <mergeCell ref="N220:N221"/>
    <mergeCell ref="N209:N210"/>
    <mergeCell ref="A207:A208"/>
    <mergeCell ref="A209:A210"/>
    <mergeCell ref="B209:B210"/>
    <mergeCell ref="N216:N217"/>
    <mergeCell ref="N207:N208"/>
    <mergeCell ref="I209:I210"/>
    <mergeCell ref="B207:B208"/>
    <mergeCell ref="C207:C208"/>
    <mergeCell ref="D207:D208"/>
    <mergeCell ref="E207:E208"/>
    <mergeCell ref="F207:F208"/>
    <mergeCell ref="G207:G208"/>
    <mergeCell ref="A195:A198"/>
    <mergeCell ref="B195:B198"/>
    <mergeCell ref="A216:A217"/>
    <mergeCell ref="B216:B217"/>
    <mergeCell ref="C209:C210"/>
    <mergeCell ref="D209:D210"/>
    <mergeCell ref="A204:A206"/>
    <mergeCell ref="B204:B206"/>
    <mergeCell ref="C204:C206"/>
    <mergeCell ref="D204:D206"/>
    <mergeCell ref="J209:J210"/>
    <mergeCell ref="O220:O221"/>
    <mergeCell ref="O181:O182"/>
    <mergeCell ref="R181:R182"/>
    <mergeCell ref="S181:S182"/>
    <mergeCell ref="S220:S221"/>
    <mergeCell ref="R220:R221"/>
    <mergeCell ref="S190:S194"/>
    <mergeCell ref="R216:R217"/>
    <mergeCell ref="S216:S217"/>
    <mergeCell ref="S207:S208"/>
    <mergeCell ref="S209:S210"/>
    <mergeCell ref="O200:O201"/>
    <mergeCell ref="R200:R201"/>
    <mergeCell ref="S200:S201"/>
    <mergeCell ref="S183:S184"/>
    <mergeCell ref="S204:S206"/>
    <mergeCell ref="R209:R210"/>
    <mergeCell ref="O209:O210"/>
    <mergeCell ref="P209:P210"/>
    <mergeCell ref="P220:P221"/>
    <mergeCell ref="R212:R213"/>
    <mergeCell ref="R187:R189"/>
    <mergeCell ref="O190:O194"/>
    <mergeCell ref="O187:O189"/>
    <mergeCell ref="S212:S213"/>
    <mergeCell ref="O141:O142"/>
    <mergeCell ref="R137:R138"/>
    <mergeCell ref="O145:O147"/>
    <mergeCell ref="O158:O159"/>
    <mergeCell ref="O156:O157"/>
    <mergeCell ref="O133:O135"/>
    <mergeCell ref="S124:S125"/>
    <mergeCell ref="S133:S135"/>
    <mergeCell ref="S175:S178"/>
    <mergeCell ref="P172:P174"/>
    <mergeCell ref="Q172:Q174"/>
    <mergeCell ref="R172:R174"/>
    <mergeCell ref="S172:S174"/>
    <mergeCell ref="Q145:Q147"/>
    <mergeCell ref="S145:S147"/>
    <mergeCell ref="S143:S144"/>
    <mergeCell ref="R145:R147"/>
    <mergeCell ref="S195:S198"/>
    <mergeCell ref="R156:R157"/>
    <mergeCell ref="O175:O178"/>
    <mergeCell ref="Q175:Q178"/>
    <mergeCell ref="R207:R208"/>
    <mergeCell ref="R204:R206"/>
    <mergeCell ref="N110:N111"/>
    <mergeCell ref="N90:N94"/>
    <mergeCell ref="P110:P111"/>
    <mergeCell ref="H122:H123"/>
    <mergeCell ref="J122:J123"/>
    <mergeCell ref="S122:S123"/>
    <mergeCell ref="Q141:Q142"/>
    <mergeCell ref="R141:R142"/>
    <mergeCell ref="Q110:Q111"/>
    <mergeCell ref="R124:R125"/>
    <mergeCell ref="N79:N81"/>
    <mergeCell ref="O90:O94"/>
    <mergeCell ref="Q107:Q108"/>
    <mergeCell ref="Q79:Q81"/>
    <mergeCell ref="P82:P83"/>
    <mergeCell ref="Q82:Q83"/>
    <mergeCell ref="P90:P94"/>
    <mergeCell ref="Q90:Q94"/>
    <mergeCell ref="N82:N83"/>
    <mergeCell ref="O82:O83"/>
    <mergeCell ref="O107:O108"/>
    <mergeCell ref="O79:O81"/>
    <mergeCell ref="E11:E12"/>
    <mergeCell ref="N27:N28"/>
    <mergeCell ref="O29:O30"/>
    <mergeCell ref="R29:R30"/>
    <mergeCell ref="S29:S30"/>
    <mergeCell ref="E15:E16"/>
    <mergeCell ref="F15:F16"/>
    <mergeCell ref="G15:G16"/>
    <mergeCell ref="O42:O43"/>
    <mergeCell ref="O27:O28"/>
    <mergeCell ref="R27:R28"/>
    <mergeCell ref="N42:N43"/>
    <mergeCell ref="E29:E30"/>
    <mergeCell ref="R42:R43"/>
    <mergeCell ref="F23:F25"/>
    <mergeCell ref="G23:G25"/>
    <mergeCell ref="G29:G30"/>
    <mergeCell ref="N29:N30"/>
    <mergeCell ref="P23:P25"/>
    <mergeCell ref="N15:N16"/>
    <mergeCell ref="O15:O16"/>
    <mergeCell ref="N40:N41"/>
    <mergeCell ref="S27:S28"/>
    <mergeCell ref="P15:P16"/>
    <mergeCell ref="B143:B144"/>
    <mergeCell ref="C143:C144"/>
    <mergeCell ref="A100:A106"/>
    <mergeCell ref="P79:P81"/>
    <mergeCell ref="Q133:Q135"/>
    <mergeCell ref="N62:N63"/>
    <mergeCell ref="P58:P60"/>
    <mergeCell ref="Q58:Q60"/>
    <mergeCell ref="P62:P63"/>
    <mergeCell ref="O122:O123"/>
    <mergeCell ref="Q122:Q123"/>
    <mergeCell ref="N130:N132"/>
    <mergeCell ref="H130:H131"/>
    <mergeCell ref="N141:N142"/>
    <mergeCell ref="Q139:Q140"/>
    <mergeCell ref="P139:P140"/>
    <mergeCell ref="N139:N140"/>
    <mergeCell ref="O130:O132"/>
    <mergeCell ref="O124:O125"/>
    <mergeCell ref="O139:O140"/>
    <mergeCell ref="P141:P142"/>
    <mergeCell ref="Q130:Q132"/>
    <mergeCell ref="P124:P125"/>
    <mergeCell ref="N107:N108"/>
    <mergeCell ref="A148:A150"/>
    <mergeCell ref="A156:A157"/>
    <mergeCell ref="B156:B157"/>
    <mergeCell ref="C156:C157"/>
    <mergeCell ref="D156:D157"/>
    <mergeCell ref="B148:B150"/>
    <mergeCell ref="A151:A152"/>
    <mergeCell ref="D151:D152"/>
    <mergeCell ref="B151:B153"/>
    <mergeCell ref="Q23:Q25"/>
    <mergeCell ref="R23:R25"/>
    <mergeCell ref="S23:S25"/>
    <mergeCell ref="Q29:Q30"/>
    <mergeCell ref="S54:S55"/>
    <mergeCell ref="Q72:Q73"/>
    <mergeCell ref="Q44:Q45"/>
    <mergeCell ref="R44:R45"/>
    <mergeCell ref="Q40:Q41"/>
    <mergeCell ref="Q42:Q43"/>
    <mergeCell ref="Q62:Q63"/>
    <mergeCell ref="Q68:Q70"/>
    <mergeCell ref="Q54:Q55"/>
    <mergeCell ref="Q49:Q52"/>
    <mergeCell ref="S44:S45"/>
    <mergeCell ref="R72:R73"/>
    <mergeCell ref="R49:R52"/>
    <mergeCell ref="R54:R55"/>
    <mergeCell ref="R31:R32"/>
    <mergeCell ref="S40:S41"/>
    <mergeCell ref="S15:S16"/>
    <mergeCell ref="P27:P28"/>
    <mergeCell ref="Q27:Q28"/>
    <mergeCell ref="P29:P30"/>
    <mergeCell ref="S72:S73"/>
    <mergeCell ref="S68:S70"/>
    <mergeCell ref="O40:O41"/>
    <mergeCell ref="R40:R41"/>
    <mergeCell ref="S62:S63"/>
    <mergeCell ref="S58:S60"/>
    <mergeCell ref="S31:S32"/>
    <mergeCell ref="S42:S43"/>
    <mergeCell ref="S49:S52"/>
    <mergeCell ref="P44:P45"/>
    <mergeCell ref="R17:R21"/>
    <mergeCell ref="S17:S21"/>
    <mergeCell ref="Q15:Q16"/>
    <mergeCell ref="R15:R16"/>
    <mergeCell ref="P40:P41"/>
    <mergeCell ref="P42:P43"/>
    <mergeCell ref="P68:P70"/>
    <mergeCell ref="P54:P55"/>
    <mergeCell ref="O62:O63"/>
    <mergeCell ref="O44:O45"/>
    <mergeCell ref="S148:S150"/>
    <mergeCell ref="S156:S157"/>
    <mergeCell ref="R148:R150"/>
    <mergeCell ref="R158:R159"/>
    <mergeCell ref="P175:P178"/>
    <mergeCell ref="R175:R178"/>
    <mergeCell ref="S130:S132"/>
    <mergeCell ref="S137:S138"/>
    <mergeCell ref="R133:R135"/>
    <mergeCell ref="P133:P135"/>
    <mergeCell ref="S139:S140"/>
    <mergeCell ref="S141:S142"/>
    <mergeCell ref="R139:R140"/>
    <mergeCell ref="S158:S159"/>
    <mergeCell ref="S151:S152"/>
    <mergeCell ref="P143:P144"/>
    <mergeCell ref="Q143:Q144"/>
    <mergeCell ref="P145:P147"/>
    <mergeCell ref="P49:P52"/>
    <mergeCell ref="S79:S81"/>
    <mergeCell ref="S82:S83"/>
    <mergeCell ref="S110:S111"/>
    <mergeCell ref="S90:S94"/>
    <mergeCell ref="R107:R108"/>
    <mergeCell ref="R79:R81"/>
    <mergeCell ref="R82:R83"/>
    <mergeCell ref="S107:S108"/>
    <mergeCell ref="R90:R94"/>
    <mergeCell ref="S74:S76"/>
    <mergeCell ref="P107:P108"/>
    <mergeCell ref="Q220:Q221"/>
    <mergeCell ref="N17:N21"/>
    <mergeCell ref="O17:O21"/>
    <mergeCell ref="P17:P21"/>
    <mergeCell ref="Q17:Q21"/>
    <mergeCell ref="Q137:Q138"/>
    <mergeCell ref="P148:P150"/>
    <mergeCell ref="Q148:Q150"/>
    <mergeCell ref="P151:P152"/>
    <mergeCell ref="Q151:Q152"/>
    <mergeCell ref="P156:P157"/>
    <mergeCell ref="Q156:Q157"/>
    <mergeCell ref="P158:P159"/>
    <mergeCell ref="Q158:Q159"/>
    <mergeCell ref="N23:N25"/>
    <mergeCell ref="N31:N32"/>
    <mergeCell ref="O31:O32"/>
    <mergeCell ref="P31:P32"/>
    <mergeCell ref="Q31:Q32"/>
    <mergeCell ref="O49:O52"/>
    <mergeCell ref="Q124:Q125"/>
    <mergeCell ref="P137:P138"/>
    <mergeCell ref="P130:P132"/>
    <mergeCell ref="O137:O138"/>
    <mergeCell ref="O183:O184"/>
    <mergeCell ref="P187:P189"/>
    <mergeCell ref="Q216:Q217"/>
    <mergeCell ref="Q209:Q210"/>
    <mergeCell ref="O195:O198"/>
    <mergeCell ref="P212:P213"/>
    <mergeCell ref="P216:P217"/>
    <mergeCell ref="Q212:Q213"/>
    <mergeCell ref="P190:P194"/>
    <mergeCell ref="P183:P184"/>
    <mergeCell ref="Q183:Q184"/>
    <mergeCell ref="Q187:Q189"/>
    <mergeCell ref="Q190:Q194"/>
    <mergeCell ref="P204:P206"/>
    <mergeCell ref="Q204:Q206"/>
    <mergeCell ref="Q200:Q201"/>
    <mergeCell ref="P207:P208"/>
    <mergeCell ref="Q207:Q208"/>
    <mergeCell ref="E17:E18"/>
    <mergeCell ref="O207:O208"/>
    <mergeCell ref="P122:P123"/>
    <mergeCell ref="O143:O144"/>
    <mergeCell ref="P200:P201"/>
    <mergeCell ref="R143:R144"/>
    <mergeCell ref="R151:R152"/>
    <mergeCell ref="R110:R111"/>
    <mergeCell ref="R122:R123"/>
    <mergeCell ref="R130:R132"/>
    <mergeCell ref="O110:O111"/>
    <mergeCell ref="R183:R184"/>
    <mergeCell ref="P181:P182"/>
    <mergeCell ref="Q181:Q182"/>
    <mergeCell ref="R190:R194"/>
    <mergeCell ref="Q195:Q198"/>
    <mergeCell ref="R195:R198"/>
    <mergeCell ref="P195:P198"/>
    <mergeCell ref="N200:N201"/>
    <mergeCell ref="N204:N206"/>
    <mergeCell ref="N195:N198"/>
    <mergeCell ref="N187:N189"/>
    <mergeCell ref="N190:N194"/>
    <mergeCell ref="O204:O206"/>
  </mergeCells>
  <hyperlinks>
    <hyperlink ref="K158" r:id="rId1" tooltip="Ссылка на КонсультантПлюс" display="consultantplus://offline/ref=3D0D1FA37BFC4FD4827B32A30E9945BF67DC73B15484D8628C3ABC299E17C3F496000D574D34C6CC6399B441G5dBH"/>
  </hyperlinks>
  <pageMargins left="0.7" right="0.7" top="0.75" bottom="0.75" header="0.3" footer="0.3"/>
  <pageSetup paperSize="9" scale="38" fitToHeight="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45" workbookViewId="0">
      <selection activeCell="D21" sqref="D21:H21"/>
    </sheetView>
  </sheetViews>
  <sheetFormatPr defaultRowHeight="15" x14ac:dyDescent="0.25"/>
  <cols>
    <col min="1" max="1" width="14.7109375" style="45" customWidth="1"/>
    <col min="2" max="2" width="87.85546875" style="1" customWidth="1"/>
    <col min="3" max="3" width="16.85546875" customWidth="1"/>
    <col min="4" max="4" width="15.42578125" customWidth="1"/>
    <col min="5" max="5" width="17" customWidth="1"/>
    <col min="6" max="6" width="16.7109375" customWidth="1"/>
    <col min="7" max="7" width="15.7109375" customWidth="1"/>
    <col min="8" max="8" width="16.85546875" customWidth="1"/>
  </cols>
  <sheetData>
    <row r="1" spans="1:8" x14ac:dyDescent="0.25">
      <c r="A1" s="44" t="s">
        <v>331</v>
      </c>
    </row>
    <row r="3" spans="1:8" x14ac:dyDescent="0.25">
      <c r="A3" s="45" t="s">
        <v>330</v>
      </c>
    </row>
    <row r="5" spans="1:8" ht="45" x14ac:dyDescent="0.25">
      <c r="A5" s="327" t="s">
        <v>0</v>
      </c>
      <c r="B5" s="350" t="s">
        <v>1</v>
      </c>
      <c r="C5" s="350" t="s">
        <v>13</v>
      </c>
      <c r="D5" s="350"/>
      <c r="E5" s="40" t="s">
        <v>14</v>
      </c>
      <c r="F5" s="350" t="s">
        <v>15</v>
      </c>
      <c r="G5" s="351"/>
      <c r="H5" s="351"/>
    </row>
    <row r="6" spans="1:8" x14ac:dyDescent="0.25">
      <c r="A6" s="328"/>
      <c r="B6" s="350"/>
      <c r="C6" s="42" t="s">
        <v>11</v>
      </c>
      <c r="D6" s="42" t="s">
        <v>12</v>
      </c>
      <c r="E6" s="42" t="s">
        <v>11</v>
      </c>
      <c r="F6" s="42" t="s">
        <v>11</v>
      </c>
      <c r="G6" s="42" t="s">
        <v>11</v>
      </c>
      <c r="H6" s="42" t="s">
        <v>11</v>
      </c>
    </row>
    <row r="7" spans="1:8" x14ac:dyDescent="0.25">
      <c r="A7" s="43">
        <v>1</v>
      </c>
      <c r="B7" s="41">
        <v>2</v>
      </c>
      <c r="C7" s="41">
        <v>3</v>
      </c>
      <c r="D7" s="41">
        <v>4</v>
      </c>
      <c r="E7" s="41">
        <v>5</v>
      </c>
      <c r="F7" s="41">
        <v>6</v>
      </c>
      <c r="G7" s="41">
        <v>7</v>
      </c>
      <c r="H7" s="41">
        <v>8</v>
      </c>
    </row>
    <row r="8" spans="1:8" ht="42.75" x14ac:dyDescent="0.25">
      <c r="A8" s="18" t="s">
        <v>53</v>
      </c>
      <c r="B8" s="15" t="s">
        <v>52</v>
      </c>
      <c r="C8" s="48" t="e">
        <f t="shared" ref="C8:H8" si="0">SUM(C9:C36)</f>
        <v>#REF!</v>
      </c>
      <c r="D8" s="48" t="e">
        <f t="shared" si="0"/>
        <v>#REF!</v>
      </c>
      <c r="E8" s="48" t="e">
        <f t="shared" si="0"/>
        <v>#REF!</v>
      </c>
      <c r="F8" s="48" t="e">
        <f t="shared" si="0"/>
        <v>#REF!</v>
      </c>
      <c r="G8" s="48" t="e">
        <f t="shared" si="0"/>
        <v>#REF!</v>
      </c>
      <c r="H8" s="48" t="e">
        <f t="shared" si="0"/>
        <v>#REF!</v>
      </c>
    </row>
    <row r="9" spans="1:8" ht="45" x14ac:dyDescent="0.25">
      <c r="A9" s="46">
        <v>2102</v>
      </c>
      <c r="B9" s="38" t="s">
        <v>124</v>
      </c>
      <c r="C9" s="47" t="e">
        <f>Лист1!#REF!+Лист1!#REF!+Лист1!N220</f>
        <v>#REF!</v>
      </c>
      <c r="D9" s="47" t="e">
        <f>Лист1!#REF!+Лист1!#REF!+Лист1!O220</f>
        <v>#REF!</v>
      </c>
      <c r="E9" s="47" t="e">
        <f>Лист1!#REF!+Лист1!#REF!+Лист1!P220</f>
        <v>#REF!</v>
      </c>
      <c r="F9" s="47" t="e">
        <f>Лист1!#REF!+Лист1!#REF!+Лист1!Q220</f>
        <v>#REF!</v>
      </c>
      <c r="G9" s="47" t="e">
        <f>Лист1!#REF!+Лист1!#REF!+Лист1!R220</f>
        <v>#REF!</v>
      </c>
      <c r="H9" s="47" t="e">
        <f>Лист1!#REF!+Лист1!#REF!+Лист1!S220</f>
        <v>#REF!</v>
      </c>
    </row>
    <row r="10" spans="1:8" ht="30" x14ac:dyDescent="0.25">
      <c r="A10" s="38">
        <v>2104</v>
      </c>
      <c r="B10" s="38" t="s">
        <v>340</v>
      </c>
      <c r="C10" s="47">
        <f>Лист1!N49</f>
        <v>1305727.79</v>
      </c>
      <c r="D10" s="47">
        <f>Лист1!O49</f>
        <v>1305727.79</v>
      </c>
      <c r="E10" s="47">
        <f>Лист1!P49</f>
        <v>500000</v>
      </c>
      <c r="F10" s="47">
        <f>Лист1!Q49</f>
        <v>500000</v>
      </c>
      <c r="G10" s="47">
        <f>Лист1!R49</f>
        <v>610000</v>
      </c>
      <c r="H10" s="47">
        <f>Лист1!S49</f>
        <v>610000</v>
      </c>
    </row>
    <row r="11" spans="1:8" ht="45" x14ac:dyDescent="0.25">
      <c r="A11" s="38">
        <v>2105</v>
      </c>
      <c r="B11" s="38" t="s">
        <v>188</v>
      </c>
      <c r="C11" s="47">
        <f>Лист1!N130</f>
        <v>4158038.56</v>
      </c>
      <c r="D11" s="47">
        <f>Лист1!O130</f>
        <v>4158038.56</v>
      </c>
      <c r="E11" s="47">
        <f>Лист1!P130</f>
        <v>6586829.2599999998</v>
      </c>
      <c r="F11" s="47">
        <f>Лист1!Q130</f>
        <v>1000000</v>
      </c>
      <c r="G11" s="47">
        <f>Лист1!R130</f>
        <v>1000000</v>
      </c>
      <c r="H11" s="47">
        <f>Лист1!S130</f>
        <v>1000000</v>
      </c>
    </row>
    <row r="12" spans="1:8" ht="105" x14ac:dyDescent="0.25">
      <c r="A12" s="9">
        <v>2106</v>
      </c>
      <c r="B12" s="9" t="s">
        <v>197</v>
      </c>
      <c r="C12" s="47">
        <f>Лист1!N133</f>
        <v>414274463.10000002</v>
      </c>
      <c r="D12" s="47">
        <f>Лист1!O133</f>
        <v>414126038.61000001</v>
      </c>
      <c r="E12" s="47">
        <f>Лист1!P133</f>
        <v>404024455.58999997</v>
      </c>
      <c r="F12" s="47">
        <f>Лист1!Q133</f>
        <v>102454782</v>
      </c>
      <c r="G12" s="47">
        <f>Лист1!R133</f>
        <v>105041661</v>
      </c>
      <c r="H12" s="47">
        <f>Лист1!S133</f>
        <v>105041661</v>
      </c>
    </row>
    <row r="13" spans="1:8" ht="75" x14ac:dyDescent="0.25">
      <c r="A13" s="38">
        <v>2107</v>
      </c>
      <c r="B13" s="38" t="s">
        <v>38</v>
      </c>
      <c r="C13" s="47">
        <f>Лист1!N137+Лист1!N66+Лист1!N53+Лист1!N11</f>
        <v>148493779.53999999</v>
      </c>
      <c r="D13" s="47">
        <f>Лист1!O137+Лист1!O66+Лист1!O53+Лист1!O11</f>
        <v>119717452.72</v>
      </c>
      <c r="E13" s="47">
        <f>Лист1!P137+Лист1!P66+Лист1!P53+Лист1!P11</f>
        <v>81826103.209999993</v>
      </c>
      <c r="F13" s="47">
        <f>Лист1!Q137+Лист1!Q66+Лист1!Q53+Лист1!Q11</f>
        <v>16290571.08</v>
      </c>
      <c r="G13" s="47">
        <f>Лист1!R137+Лист1!R66+Лист1!R53+Лист1!R11</f>
        <v>19518381.98</v>
      </c>
      <c r="H13" s="47">
        <f>Лист1!S137+Лист1!S66+Лист1!S53+Лист1!S11</f>
        <v>18234921</v>
      </c>
    </row>
    <row r="14" spans="1:8" ht="30" x14ac:dyDescent="0.25">
      <c r="A14" s="38">
        <v>2108</v>
      </c>
      <c r="B14" s="38" t="s">
        <v>210</v>
      </c>
      <c r="C14" s="47">
        <f>Лист1!N139</f>
        <v>70720720</v>
      </c>
      <c r="D14" s="47">
        <f>Лист1!O139</f>
        <v>70464016.939999998</v>
      </c>
      <c r="E14" s="47">
        <f>Лист1!P139</f>
        <v>74256820</v>
      </c>
      <c r="F14" s="47">
        <f>Лист1!Q139</f>
        <v>74256820</v>
      </c>
      <c r="G14" s="47">
        <f>Лист1!R139</f>
        <v>74256820</v>
      </c>
      <c r="H14" s="47">
        <f>Лист1!S139</f>
        <v>74256820</v>
      </c>
    </row>
    <row r="15" spans="1:8" ht="30" x14ac:dyDescent="0.25">
      <c r="A15" s="38">
        <v>2111</v>
      </c>
      <c r="B15" s="38" t="s">
        <v>131</v>
      </c>
      <c r="C15" s="47">
        <f>Лист1!N79</f>
        <v>52718761.129999995</v>
      </c>
      <c r="D15" s="47">
        <f>Лист1!O79</f>
        <v>52718761.129999995</v>
      </c>
      <c r="E15" s="47">
        <f>Лист1!P79</f>
        <v>55129533</v>
      </c>
      <c r="F15" s="47">
        <f>Лист1!Q79</f>
        <v>49219718</v>
      </c>
      <c r="G15" s="47">
        <f>Лист1!R79</f>
        <v>52219718</v>
      </c>
      <c r="H15" s="47">
        <f>Лист1!S79</f>
        <v>52219718</v>
      </c>
    </row>
    <row r="16" spans="1:8" x14ac:dyDescent="0.25">
      <c r="A16" s="38">
        <v>2115</v>
      </c>
      <c r="B16" s="38" t="s">
        <v>141</v>
      </c>
      <c r="C16" s="47">
        <f>Лист1!N82</f>
        <v>1315616.27</v>
      </c>
      <c r="D16" s="47">
        <f>Лист1!O82</f>
        <v>205367.63</v>
      </c>
      <c r="E16" s="47">
        <f>Лист1!P82</f>
        <v>2000000</v>
      </c>
      <c r="F16" s="47">
        <f>Лист1!Q82</f>
        <v>2000000</v>
      </c>
      <c r="G16" s="47">
        <f>Лист1!R82</f>
        <v>2000000</v>
      </c>
      <c r="H16" s="47">
        <f>Лист1!S82</f>
        <v>2000000</v>
      </c>
    </row>
    <row r="17" spans="1:8" ht="165" x14ac:dyDescent="0.25">
      <c r="A17" s="38">
        <v>2117</v>
      </c>
      <c r="B17" s="38" t="s">
        <v>148</v>
      </c>
      <c r="C17" s="47">
        <f>Лист1!N90+Лист1!N187</f>
        <v>884617282.44000006</v>
      </c>
      <c r="D17" s="47">
        <f>Лист1!O90+Лист1!O187</f>
        <v>835631227.79999995</v>
      </c>
      <c r="E17" s="47">
        <f>Лист1!P90+Лист1!P187</f>
        <v>937243462.71000004</v>
      </c>
      <c r="F17" s="47">
        <f>Лист1!Q90+Лист1!Q187</f>
        <v>902664573.39999998</v>
      </c>
      <c r="G17" s="47">
        <f>Лист1!R90+Лист1!R187</f>
        <v>899682516.25</v>
      </c>
      <c r="H17" s="47">
        <f>Лист1!S90+Лист1!S187</f>
        <v>735046536.66999996</v>
      </c>
    </row>
    <row r="18" spans="1:8" ht="30" x14ac:dyDescent="0.25">
      <c r="A18" s="38">
        <v>2119</v>
      </c>
      <c r="B18" s="38" t="s">
        <v>219</v>
      </c>
      <c r="C18" s="47">
        <f>Лист1!N141</f>
        <v>6569001.9199999999</v>
      </c>
      <c r="D18" s="47">
        <f>Лист1!O141</f>
        <v>6569001.9199999999</v>
      </c>
      <c r="E18" s="47">
        <f>Лист1!P141</f>
        <v>6000000</v>
      </c>
      <c r="F18" s="47">
        <f>Лист1!Q141</f>
        <v>6000000</v>
      </c>
      <c r="G18" s="47">
        <f>Лист1!R141</f>
        <v>6000000</v>
      </c>
      <c r="H18" s="47">
        <f>Лист1!S141</f>
        <v>6000000</v>
      </c>
    </row>
    <row r="19" spans="1:8" ht="30" x14ac:dyDescent="0.25">
      <c r="A19" s="38">
        <v>2120</v>
      </c>
      <c r="B19" s="38" t="s">
        <v>280</v>
      </c>
      <c r="C19" s="47">
        <f>Лист1!N190</f>
        <v>68039937</v>
      </c>
      <c r="D19" s="47">
        <f>Лист1!O190</f>
        <v>68039937</v>
      </c>
      <c r="E19" s="47">
        <f>Лист1!P190</f>
        <v>73159572</v>
      </c>
      <c r="F19" s="47">
        <f>Лист1!Q190</f>
        <v>60468177</v>
      </c>
      <c r="G19" s="47">
        <f>Лист1!R190</f>
        <v>62880517</v>
      </c>
      <c r="H19" s="47">
        <f>Лист1!S190</f>
        <v>62816017</v>
      </c>
    </row>
    <row r="20" spans="1:8" ht="30" x14ac:dyDescent="0.25">
      <c r="A20" s="38">
        <v>2121</v>
      </c>
      <c r="B20" s="38" t="s">
        <v>341</v>
      </c>
      <c r="C20" s="47">
        <f>Лист1!N195</f>
        <v>64724026</v>
      </c>
      <c r="D20" s="47">
        <f>Лист1!O195</f>
        <v>64724026</v>
      </c>
      <c r="E20" s="47">
        <f>Лист1!P195</f>
        <v>127706461</v>
      </c>
      <c r="F20" s="47">
        <f>Лист1!Q195</f>
        <v>112604078</v>
      </c>
      <c r="G20" s="47">
        <f>Лист1!R195</f>
        <v>114904078</v>
      </c>
      <c r="H20" s="47">
        <f>Лист1!S195</f>
        <v>114904078</v>
      </c>
    </row>
    <row r="21" spans="1:8" ht="45" x14ac:dyDescent="0.25">
      <c r="A21" s="38">
        <v>2124</v>
      </c>
      <c r="B21" s="38" t="s">
        <v>271</v>
      </c>
      <c r="C21" s="47" t="e">
        <f>Лист1!N166+Лист1!#REF!</f>
        <v>#REF!</v>
      </c>
      <c r="D21" s="47" t="e">
        <f>Лист1!O166+Лист1!#REF!</f>
        <v>#REF!</v>
      </c>
      <c r="E21" s="47" t="e">
        <f>Лист1!P166+Лист1!#REF!</f>
        <v>#REF!</v>
      </c>
      <c r="F21" s="47" t="e">
        <f>Лист1!Q166+Лист1!#REF!</f>
        <v>#REF!</v>
      </c>
      <c r="G21" s="47" t="e">
        <f>Лист1!R166+Лист1!#REF!</f>
        <v>#REF!</v>
      </c>
      <c r="H21" s="47" t="e">
        <f>Лист1!S166+Лист1!#REF!</f>
        <v>#REF!</v>
      </c>
    </row>
    <row r="22" spans="1:8" ht="30" x14ac:dyDescent="0.25">
      <c r="A22" s="38">
        <v>2125</v>
      </c>
      <c r="B22" s="38" t="s">
        <v>221</v>
      </c>
      <c r="C22" s="47">
        <f>Лист1!N143</f>
        <v>72384</v>
      </c>
      <c r="D22" s="47">
        <f>Лист1!O143</f>
        <v>72384</v>
      </c>
      <c r="E22" s="47">
        <f>Лист1!P143</f>
        <v>72440</v>
      </c>
      <c r="F22" s="47">
        <f>Лист1!Q143</f>
        <v>36000</v>
      </c>
      <c r="G22" s="47">
        <f>Лист1!R143</f>
        <v>36000</v>
      </c>
      <c r="H22" s="47">
        <f>Лист1!S143</f>
        <v>36000</v>
      </c>
    </row>
    <row r="23" spans="1:8" x14ac:dyDescent="0.25">
      <c r="A23" s="38">
        <v>2126</v>
      </c>
      <c r="B23" s="38" t="s">
        <v>41</v>
      </c>
      <c r="C23" s="47">
        <f>Лист1!N15</f>
        <v>5444336</v>
      </c>
      <c r="D23" s="47">
        <f>Лист1!O15</f>
        <v>5444336</v>
      </c>
      <c r="E23" s="47">
        <f>Лист1!P15</f>
        <v>5855275</v>
      </c>
      <c r="F23" s="47">
        <f>Лист1!Q15</f>
        <v>5435305</v>
      </c>
      <c r="G23" s="47">
        <f>Лист1!R15</f>
        <v>5435305</v>
      </c>
      <c r="H23" s="47">
        <f>Лист1!S15</f>
        <v>5435305</v>
      </c>
    </row>
    <row r="24" spans="1:8" x14ac:dyDescent="0.25">
      <c r="A24" s="38">
        <v>2127</v>
      </c>
      <c r="B24" s="38" t="s">
        <v>342</v>
      </c>
      <c r="C24" s="47">
        <f>Лист1!N145</f>
        <v>3340071.67</v>
      </c>
      <c r="D24" s="47">
        <f>Лист1!O145</f>
        <v>3340071.67</v>
      </c>
      <c r="E24" s="47">
        <f>Лист1!P145</f>
        <v>4500000</v>
      </c>
      <c r="F24" s="47">
        <f>Лист1!Q145</f>
        <v>4500000</v>
      </c>
      <c r="G24" s="47">
        <f>Лист1!R145</f>
        <v>4500000</v>
      </c>
      <c r="H24" s="47">
        <f>Лист1!S145</f>
        <v>4500000</v>
      </c>
    </row>
    <row r="25" spans="1:8" x14ac:dyDescent="0.25">
      <c r="A25" s="38">
        <v>2128</v>
      </c>
      <c r="B25" s="38" t="s">
        <v>343</v>
      </c>
      <c r="C25" s="47">
        <f>Лист1!N148</f>
        <v>3245000</v>
      </c>
      <c r="D25" s="47">
        <f>Лист1!O148</f>
        <v>2848442.41</v>
      </c>
      <c r="E25" s="47">
        <f>Лист1!P148</f>
        <v>100000</v>
      </c>
      <c r="F25" s="47">
        <f>Лист1!Q148</f>
        <v>100000</v>
      </c>
      <c r="G25" s="47">
        <f>Лист1!R148</f>
        <v>100000</v>
      </c>
      <c r="H25" s="47">
        <f>Лист1!S148</f>
        <v>100000</v>
      </c>
    </row>
    <row r="26" spans="1:8" ht="165" x14ac:dyDescent="0.25">
      <c r="A26" s="38">
        <v>2129</v>
      </c>
      <c r="B26" s="38" t="s">
        <v>252</v>
      </c>
      <c r="C26" s="47">
        <f>Лист1!N151</f>
        <v>182981603.69000003</v>
      </c>
      <c r="D26" s="47">
        <f>Лист1!O151</f>
        <v>178480439.97</v>
      </c>
      <c r="E26" s="47">
        <f>Лист1!P151</f>
        <v>118736676.84999999</v>
      </c>
      <c r="F26" s="47">
        <f>Лист1!Q151</f>
        <v>190192261.77000001</v>
      </c>
      <c r="G26" s="47">
        <f>Лист1!R151</f>
        <v>93942825.140000001</v>
      </c>
      <c r="H26" s="47">
        <f>Лист1!S151</f>
        <v>65136658</v>
      </c>
    </row>
    <row r="27" spans="1:8" ht="180" x14ac:dyDescent="0.25">
      <c r="A27" s="38">
        <v>2130</v>
      </c>
      <c r="B27" s="38" t="s">
        <v>109</v>
      </c>
      <c r="C27" s="47">
        <f>Лист1!N54+Лист1!N207</f>
        <v>1464050.21</v>
      </c>
      <c r="D27" s="47">
        <f>Лист1!O54+Лист1!O207</f>
        <v>1464050</v>
      </c>
      <c r="E27" s="47">
        <f>Лист1!P54+Лист1!P207</f>
        <v>8650450.0500000007</v>
      </c>
      <c r="F27" s="47">
        <f>Лист1!Q54+Лист1!Q207</f>
        <v>2157000</v>
      </c>
      <c r="G27" s="47">
        <f>Лист1!R54+Лист1!R207</f>
        <v>2657000</v>
      </c>
      <c r="H27" s="47">
        <f>Лист1!S54+Лист1!S207</f>
        <v>2657000</v>
      </c>
    </row>
    <row r="28" spans="1:8" ht="30" x14ac:dyDescent="0.25">
      <c r="A28" s="38">
        <v>2131</v>
      </c>
      <c r="B28" s="38" t="s">
        <v>344</v>
      </c>
      <c r="C28" s="47">
        <f>Лист1!N209</f>
        <v>149500</v>
      </c>
      <c r="D28" s="47">
        <f>Лист1!O209</f>
        <v>141500</v>
      </c>
      <c r="E28" s="47">
        <f>Лист1!P209</f>
        <v>500000</v>
      </c>
      <c r="F28" s="47">
        <f>Лист1!Q209</f>
        <v>500000</v>
      </c>
      <c r="G28" s="47">
        <f>Лист1!R209</f>
        <v>500000</v>
      </c>
      <c r="H28" s="47">
        <f>Лист1!S209</f>
        <v>500000</v>
      </c>
    </row>
    <row r="29" spans="1:8" ht="61.5" customHeight="1" x14ac:dyDescent="0.25">
      <c r="A29" s="38">
        <v>2138</v>
      </c>
      <c r="B29" s="38" t="s">
        <v>345</v>
      </c>
      <c r="C29" s="47" t="e">
        <f>Лист1!#REF!+Лист1!N17</f>
        <v>#REF!</v>
      </c>
      <c r="D29" s="47" t="e">
        <f>Лист1!#REF!+Лист1!O17</f>
        <v>#REF!</v>
      </c>
      <c r="E29" s="47" t="e">
        <f>Лист1!#REF!+Лист1!P17</f>
        <v>#REF!</v>
      </c>
      <c r="F29" s="47" t="e">
        <f>Лист1!#REF!+Лист1!Q17</f>
        <v>#REF!</v>
      </c>
      <c r="G29" s="47" t="e">
        <f>Лист1!#REF!+Лист1!R17</f>
        <v>#REF!</v>
      </c>
      <c r="H29" s="47" t="e">
        <f>Лист1!#REF!+Лист1!S17</f>
        <v>#REF!</v>
      </c>
    </row>
    <row r="30" spans="1:8" ht="30" x14ac:dyDescent="0.25">
      <c r="A30" s="38">
        <v>2139</v>
      </c>
      <c r="B30" s="38" t="s">
        <v>263</v>
      </c>
      <c r="C30" s="47">
        <f>Лист1!N175</f>
        <v>28739230.699999999</v>
      </c>
      <c r="D30" s="47">
        <f>Лист1!O175</f>
        <v>28624132.280000001</v>
      </c>
      <c r="E30" s="47">
        <f>Лист1!P175</f>
        <v>32996966</v>
      </c>
      <c r="F30" s="47">
        <f>Лист1!Q175</f>
        <v>32690988</v>
      </c>
      <c r="G30" s="47">
        <f>Лист1!R175</f>
        <v>32690988</v>
      </c>
      <c r="H30" s="47">
        <f>Лист1!S175</f>
        <v>32690988</v>
      </c>
    </row>
    <row r="31" spans="1:8" ht="30" x14ac:dyDescent="0.25">
      <c r="A31" s="63">
        <v>2141</v>
      </c>
      <c r="B31" s="63" t="str">
        <f>Лист1!B33</f>
        <v>поддержка деятельности некоммерческих организаций, за исключением социально ориентированных организаций</v>
      </c>
      <c r="C31" s="47">
        <f>Лист1!N33</f>
        <v>525204</v>
      </c>
      <c r="D31" s="47">
        <f>Лист1!O33</f>
        <v>525204</v>
      </c>
      <c r="E31" s="47">
        <f>Лист1!P33</f>
        <v>779283.5</v>
      </c>
      <c r="F31" s="47">
        <f>Лист1!Q33</f>
        <v>565316</v>
      </c>
      <c r="G31" s="47">
        <f>Лист1!R33</f>
        <v>565316</v>
      </c>
      <c r="H31" s="47">
        <f>Лист1!S33</f>
        <v>565316</v>
      </c>
    </row>
    <row r="32" spans="1:8" ht="24" customHeight="1" x14ac:dyDescent="0.25">
      <c r="A32" s="38">
        <v>2201</v>
      </c>
      <c r="B32" s="38" t="str">
        <f>Лист1!B27</f>
        <v xml:space="preserve">материально-техническое и финансовое обеспечение деятельности органов местного самоуправления </v>
      </c>
      <c r="C32" s="47" t="e">
        <f>Лист1!N27+Лист1!N110+Лист1!#REF!+Лист1!N156+Лист1!N181+Лист1!N200+Лист1!N212+Лист1!N216</f>
        <v>#REF!</v>
      </c>
      <c r="D32" s="47" t="e">
        <f>Лист1!O27+Лист1!O110+Лист1!#REF!+Лист1!O156+Лист1!O181+Лист1!O200+Лист1!O212+Лист1!O216</f>
        <v>#REF!</v>
      </c>
      <c r="E32" s="47" t="e">
        <f>Лист1!P27+Лист1!P110+Лист1!#REF!+Лист1!P156+Лист1!P181+Лист1!P200+Лист1!P212+Лист1!P216</f>
        <v>#REF!</v>
      </c>
      <c r="F32" s="47" t="e">
        <f>Лист1!Q27+Лист1!Q110+Лист1!#REF!+Лист1!Q156+Лист1!Q181+Лист1!Q200+Лист1!Q212+Лист1!Q216</f>
        <v>#REF!</v>
      </c>
      <c r="G32" s="47" t="e">
        <f>Лист1!R27+Лист1!R110+Лист1!#REF!+Лист1!R156+Лист1!R181+Лист1!R200+Лист1!R212+Лист1!R216</f>
        <v>#REF!</v>
      </c>
      <c r="H32" s="47" t="e">
        <f>Лист1!S27+Лист1!S110+Лист1!#REF!+Лист1!S156+Лист1!S181+Лист1!S200+Лист1!S212+Лист1!S216</f>
        <v>#REF!</v>
      </c>
    </row>
    <row r="33" spans="1:8" x14ac:dyDescent="0.25">
      <c r="A33" s="38">
        <v>2202</v>
      </c>
      <c r="B33" s="38" t="s">
        <v>346</v>
      </c>
      <c r="C33" s="47">
        <f>Лист1!N72</f>
        <v>1231</v>
      </c>
      <c r="D33" s="47">
        <f>Лист1!O72</f>
        <v>1230.8599999999999</v>
      </c>
      <c r="E33" s="47">
        <f>Лист1!P72</f>
        <v>13615</v>
      </c>
      <c r="F33" s="47">
        <f>Лист1!Q72</f>
        <v>0</v>
      </c>
      <c r="G33" s="47">
        <f>Лист1!R72</f>
        <v>0</v>
      </c>
      <c r="H33" s="47">
        <f>Лист1!S72</f>
        <v>0</v>
      </c>
    </row>
    <row r="34" spans="1:8" ht="60" x14ac:dyDescent="0.25">
      <c r="A34" s="39">
        <v>2206</v>
      </c>
      <c r="B34" s="38" t="s">
        <v>333</v>
      </c>
      <c r="C34" s="47" t="e">
        <f>Лист1!N29+Лист1!#REF!+Лист1!N158+Лист1!N183</f>
        <v>#REF!</v>
      </c>
      <c r="D34" s="47" t="e">
        <f>Лист1!O29+Лист1!#REF!+Лист1!O158+Лист1!O183</f>
        <v>#REF!</v>
      </c>
      <c r="E34" s="47" t="e">
        <f>Лист1!P29+Лист1!#REF!+Лист1!P158+Лист1!P183</f>
        <v>#REF!</v>
      </c>
      <c r="F34" s="47" t="e">
        <f>Лист1!Q29+Лист1!#REF!+Лист1!Q158+Лист1!Q183</f>
        <v>#REF!</v>
      </c>
      <c r="G34" s="47" t="e">
        <f>Лист1!R29+Лист1!#REF!+Лист1!R158+Лист1!R183</f>
        <v>#REF!</v>
      </c>
      <c r="H34" s="47" t="e">
        <f>Лист1!S29+Лист1!#REF!+Лист1!S158+Лист1!S183</f>
        <v>#REF!</v>
      </c>
    </row>
    <row r="35" spans="1:8" ht="75" x14ac:dyDescent="0.25">
      <c r="A35" s="38">
        <v>2211</v>
      </c>
      <c r="B35" s="63" t="s">
        <v>348</v>
      </c>
      <c r="C35" s="47" t="e">
        <f>Лист1!#REF!</f>
        <v>#REF!</v>
      </c>
      <c r="D35" s="47" t="e">
        <f>Лист1!#REF!</f>
        <v>#REF!</v>
      </c>
      <c r="E35" s="47" t="e">
        <f>Лист1!#REF!</f>
        <v>#REF!</v>
      </c>
      <c r="F35" s="47" t="e">
        <f>Лист1!#REF!</f>
        <v>#REF!</v>
      </c>
      <c r="G35" s="47" t="e">
        <f>Лист1!#REF!</f>
        <v>#REF!</v>
      </c>
      <c r="H35" s="47" t="e">
        <f>Лист1!#REF!</f>
        <v>#REF!</v>
      </c>
    </row>
    <row r="36" spans="1:8" ht="30" x14ac:dyDescent="0.25">
      <c r="A36" s="63">
        <v>2218</v>
      </c>
      <c r="B36" s="63" t="s">
        <v>316</v>
      </c>
      <c r="C36" s="47" t="e">
        <f>Лист1!#REF!</f>
        <v>#REF!</v>
      </c>
      <c r="D36" s="47" t="e">
        <f>Лист1!#REF!</f>
        <v>#REF!</v>
      </c>
      <c r="E36" s="47" t="e">
        <f>Лист1!#REF!</f>
        <v>#REF!</v>
      </c>
      <c r="F36" s="47" t="e">
        <f>Лист1!#REF!</f>
        <v>#REF!</v>
      </c>
      <c r="G36" s="47" t="e">
        <f>Лист1!#REF!</f>
        <v>#REF!</v>
      </c>
      <c r="H36" s="47" t="e">
        <f>Лист1!#REF!</f>
        <v>#REF!</v>
      </c>
    </row>
    <row r="37" spans="1:8" ht="57" x14ac:dyDescent="0.25">
      <c r="A37" s="15" t="s">
        <v>51</v>
      </c>
      <c r="B37" s="15" t="s">
        <v>50</v>
      </c>
      <c r="C37" s="48" t="e">
        <f t="shared" ref="C37:H37" si="1">SUM(C38:C47)</f>
        <v>#REF!</v>
      </c>
      <c r="D37" s="48" t="e">
        <f t="shared" si="1"/>
        <v>#REF!</v>
      </c>
      <c r="E37" s="48" t="e">
        <f t="shared" si="1"/>
        <v>#REF!</v>
      </c>
      <c r="F37" s="48" t="e">
        <f t="shared" si="1"/>
        <v>#REF!</v>
      </c>
      <c r="G37" s="48" t="e">
        <f t="shared" si="1"/>
        <v>#REF!</v>
      </c>
      <c r="H37" s="48" t="e">
        <f t="shared" si="1"/>
        <v>#REF!</v>
      </c>
    </row>
    <row r="38" spans="1:8" x14ac:dyDescent="0.25">
      <c r="A38" s="38">
        <v>2603</v>
      </c>
      <c r="B38" s="38" t="s">
        <v>335</v>
      </c>
      <c r="C38" s="47" t="e">
        <f>Лист1!#REF!</f>
        <v>#REF!</v>
      </c>
      <c r="D38" s="47" t="e">
        <f>Лист1!#REF!</f>
        <v>#REF!</v>
      </c>
      <c r="E38" s="47" t="e">
        <f>Лист1!#REF!</f>
        <v>#REF!</v>
      </c>
      <c r="F38" s="47" t="e">
        <f>Лист1!#REF!</f>
        <v>#REF!</v>
      </c>
      <c r="G38" s="47" t="e">
        <f>Лист1!#REF!</f>
        <v>#REF!</v>
      </c>
      <c r="H38" s="47" t="e">
        <f>Лист1!#REF!</f>
        <v>#REF!</v>
      </c>
    </row>
    <row r="39" spans="1:8" x14ac:dyDescent="0.25">
      <c r="A39" s="9">
        <v>2605</v>
      </c>
      <c r="B39" s="9" t="s">
        <v>334</v>
      </c>
      <c r="C39" s="47">
        <f>Лист1!N37</f>
        <v>429000</v>
      </c>
      <c r="D39" s="47">
        <f>Лист1!O37</f>
        <v>428999.6</v>
      </c>
      <c r="E39" s="47">
        <f>Лист1!P37</f>
        <v>500400</v>
      </c>
      <c r="F39" s="47">
        <f>Лист1!Q37</f>
        <v>436900</v>
      </c>
      <c r="G39" s="47">
        <f>Лист1!R37</f>
        <v>436900</v>
      </c>
      <c r="H39" s="47">
        <f>Лист1!S37</f>
        <v>436900</v>
      </c>
    </row>
    <row r="40" spans="1:8" ht="135" x14ac:dyDescent="0.25">
      <c r="A40" s="9">
        <v>2622</v>
      </c>
      <c r="B40" s="9" t="s">
        <v>349</v>
      </c>
      <c r="C40" s="47" t="e">
        <f>Лист1!#REF!+Лист1!N115+Лист1!N118+Лист1!#REF!</f>
        <v>#REF!</v>
      </c>
      <c r="D40" s="47" t="e">
        <f>Лист1!#REF!+Лист1!O115+Лист1!O118+Лист1!#REF!</f>
        <v>#REF!</v>
      </c>
      <c r="E40" s="47" t="e">
        <f>Лист1!#REF!+Лист1!P115+Лист1!P118+Лист1!#REF!</f>
        <v>#REF!</v>
      </c>
      <c r="F40" s="47" t="e">
        <f>Лист1!#REF!+Лист1!Q115+Лист1!Q118+Лист1!#REF!</f>
        <v>#REF!</v>
      </c>
      <c r="G40" s="47" t="e">
        <f>Лист1!#REF!+Лист1!R115+Лист1!R118+Лист1!#REF!</f>
        <v>#REF!</v>
      </c>
      <c r="H40" s="47" t="e">
        <f>Лист1!#REF!+Лист1!S115+Лист1!S118+Лист1!#REF!</f>
        <v>#REF!</v>
      </c>
    </row>
    <row r="41" spans="1:8" ht="30" x14ac:dyDescent="0.25">
      <c r="A41" s="38">
        <v>2628</v>
      </c>
      <c r="B41" s="38" t="s">
        <v>336</v>
      </c>
      <c r="C41" s="47">
        <f>Лист1!N62</f>
        <v>139344218.31</v>
      </c>
      <c r="D41" s="47">
        <f>Лист1!O62</f>
        <v>139342081.46000001</v>
      </c>
      <c r="E41" s="47">
        <f>Лист1!P62</f>
        <v>115200900</v>
      </c>
      <c r="F41" s="47">
        <f>Лист1!Q62</f>
        <v>114859700</v>
      </c>
      <c r="G41" s="47">
        <f>Лист1!R62</f>
        <v>125131900</v>
      </c>
      <c r="H41" s="47">
        <f>Лист1!S62</f>
        <v>90722000</v>
      </c>
    </row>
    <row r="42" spans="1:8" ht="180" x14ac:dyDescent="0.25">
      <c r="A42" s="9">
        <v>2640</v>
      </c>
      <c r="B42" s="9" t="s">
        <v>350</v>
      </c>
      <c r="C42" s="47" t="e">
        <f>Лист1!N117+Лист1!#REF!+Лист1!#REF!+Лист1!#REF!</f>
        <v>#REF!</v>
      </c>
      <c r="D42" s="47" t="e">
        <f>Лист1!O117+Лист1!#REF!+Лист1!#REF!+Лист1!#REF!</f>
        <v>#REF!</v>
      </c>
      <c r="E42" s="47" t="e">
        <f>Лист1!P117+Лист1!#REF!+Лист1!#REF!+Лист1!#REF!</f>
        <v>#REF!</v>
      </c>
      <c r="F42" s="47" t="e">
        <f>Лист1!Q117+Лист1!#REF!+Лист1!#REF!+Лист1!#REF!</f>
        <v>#REF!</v>
      </c>
      <c r="G42" s="47" t="e">
        <f>Лист1!R117+Лист1!#REF!+Лист1!#REF!+Лист1!#REF!</f>
        <v>#REF!</v>
      </c>
      <c r="H42" s="47" t="e">
        <f>Лист1!S117+Лист1!#REF!+Лист1!#REF!+Лист1!#REF!</f>
        <v>#REF!</v>
      </c>
    </row>
    <row r="43" spans="1:8" ht="75" x14ac:dyDescent="0.25">
      <c r="A43" s="38">
        <v>2641</v>
      </c>
      <c r="B43" s="38" t="s">
        <v>351</v>
      </c>
      <c r="C43" s="47">
        <f>Лист1!N38+Лист1!N40+Лист1!N42</f>
        <v>5011100</v>
      </c>
      <c r="D43" s="47">
        <f>Лист1!O38+Лист1!O40+Лист1!O42</f>
        <v>5011099.24</v>
      </c>
      <c r="E43" s="47">
        <f>Лист1!P38+Лист1!P40+Лист1!P42</f>
        <v>5653200</v>
      </c>
      <c r="F43" s="47">
        <f>Лист1!Q38+Лист1!Q40+Лист1!Q42</f>
        <v>4877000</v>
      </c>
      <c r="G43" s="47">
        <f>Лист1!R38+Лист1!R40+Лист1!R42</f>
        <v>4877000</v>
      </c>
      <c r="H43" s="47">
        <f>Лист1!S38+Лист1!S40+Лист1!S42</f>
        <v>4877000</v>
      </c>
    </row>
    <row r="44" spans="1:8" x14ac:dyDescent="0.25">
      <c r="A44" s="38">
        <v>2642</v>
      </c>
      <c r="B44" s="9" t="s">
        <v>337</v>
      </c>
      <c r="C44" s="47">
        <f>Лист1!N120</f>
        <v>15998600</v>
      </c>
      <c r="D44" s="47">
        <f>Лист1!O120</f>
        <v>15942799.16</v>
      </c>
      <c r="E44" s="47">
        <f>Лист1!P120</f>
        <v>18566300</v>
      </c>
      <c r="F44" s="47">
        <f>Лист1!Q120</f>
        <v>16045000</v>
      </c>
      <c r="G44" s="47">
        <f>Лист1!R120</f>
        <v>16045000</v>
      </c>
      <c r="H44" s="47">
        <f>Лист1!S120</f>
        <v>16045000</v>
      </c>
    </row>
    <row r="45" spans="1:8" ht="105" x14ac:dyDescent="0.25">
      <c r="A45" s="71">
        <v>2643</v>
      </c>
      <c r="B45" s="72" t="s">
        <v>354</v>
      </c>
      <c r="C45" s="47">
        <f>Лист1!N119</f>
        <v>20303100</v>
      </c>
      <c r="D45" s="47">
        <f>Лист1!O119</f>
        <v>20156025.609999999</v>
      </c>
      <c r="E45" s="47">
        <f>Лист1!P119</f>
        <v>24045600</v>
      </c>
      <c r="F45" s="47">
        <f>Лист1!Q119</f>
        <v>24045600</v>
      </c>
      <c r="G45" s="47">
        <f>Лист1!R119</f>
        <v>24045600</v>
      </c>
      <c r="H45" s="47">
        <f>Лист1!S119</f>
        <v>24045600</v>
      </c>
    </row>
    <row r="46" spans="1:8" ht="60" x14ac:dyDescent="0.25">
      <c r="A46" s="9">
        <v>2660</v>
      </c>
      <c r="B46" s="9" t="s">
        <v>339</v>
      </c>
      <c r="C46" s="47">
        <f>Лист1!N162</f>
        <v>2576500</v>
      </c>
      <c r="D46" s="47">
        <f>Лист1!O162</f>
        <v>2564396.2999999998</v>
      </c>
      <c r="E46" s="47">
        <f>Лист1!P162</f>
        <v>2612516.3123487001</v>
      </c>
      <c r="F46" s="47">
        <f>Лист1!Q162</f>
        <v>1693800</v>
      </c>
      <c r="G46" s="47">
        <f>Лист1!R162</f>
        <v>1693800</v>
      </c>
      <c r="H46" s="47">
        <f>Лист1!S162</f>
        <v>1693800</v>
      </c>
    </row>
    <row r="47" spans="1:8" ht="45" x14ac:dyDescent="0.25">
      <c r="A47" s="38">
        <v>2670</v>
      </c>
      <c r="B47" s="38" t="s">
        <v>338</v>
      </c>
      <c r="C47" s="47">
        <f>Лист1!N161</f>
        <v>24000000</v>
      </c>
      <c r="D47" s="47">
        <f>Лист1!O161</f>
        <v>11332270.130000001</v>
      </c>
      <c r="E47" s="47">
        <f>Лист1!P161</f>
        <v>15895700</v>
      </c>
      <c r="F47" s="47">
        <f>Лист1!Q161</f>
        <v>15895700</v>
      </c>
      <c r="G47" s="47">
        <f>Лист1!R161</f>
        <v>15895700</v>
      </c>
      <c r="H47" s="47">
        <f>Лист1!S161</f>
        <v>15895700</v>
      </c>
    </row>
    <row r="48" spans="1:8" x14ac:dyDescent="0.25">
      <c r="A48" s="18"/>
      <c r="B48" s="50" t="s">
        <v>332</v>
      </c>
      <c r="C48" s="48" t="e">
        <f>C8+C37</f>
        <v>#REF!</v>
      </c>
      <c r="D48" s="48" t="e">
        <f>D37+D8</f>
        <v>#REF!</v>
      </c>
      <c r="E48" s="48" t="e">
        <f>E37+E8</f>
        <v>#REF!</v>
      </c>
      <c r="F48" s="48" t="e">
        <f>F37+F8</f>
        <v>#REF!</v>
      </c>
      <c r="G48" s="48" t="e">
        <f>G37+G8</f>
        <v>#REF!</v>
      </c>
      <c r="H48" s="48" t="e">
        <f>H37+H8</f>
        <v>#REF!</v>
      </c>
    </row>
    <row r="49" spans="2:8" x14ac:dyDescent="0.25">
      <c r="B49" s="34" t="s">
        <v>352</v>
      </c>
      <c r="C49" s="35"/>
      <c r="D49" s="35"/>
      <c r="E49" s="35"/>
      <c r="F49" s="35"/>
      <c r="G49" s="35"/>
      <c r="H49" s="35"/>
    </row>
    <row r="50" spans="2:8" x14ac:dyDescent="0.25">
      <c r="C50" s="49" t="e">
        <f t="shared" ref="C50:H50" si="2">C48-C49</f>
        <v>#REF!</v>
      </c>
      <c r="D50" s="49" t="e">
        <f t="shared" si="2"/>
        <v>#REF!</v>
      </c>
      <c r="E50" s="49" t="e">
        <f t="shared" si="2"/>
        <v>#REF!</v>
      </c>
      <c r="F50" s="49" t="e">
        <f t="shared" si="2"/>
        <v>#REF!</v>
      </c>
      <c r="G50" s="49" t="e">
        <f t="shared" si="2"/>
        <v>#REF!</v>
      </c>
      <c r="H50" s="49" t="e">
        <f t="shared" si="2"/>
        <v>#REF!</v>
      </c>
    </row>
    <row r="52" spans="2:8" x14ac:dyDescent="0.25">
      <c r="C52" s="49">
        <v>2197002039.6799998</v>
      </c>
      <c r="D52" s="49">
        <v>2158639125.7800002</v>
      </c>
      <c r="E52" s="49">
        <v>2103817654.3</v>
      </c>
      <c r="F52" s="49">
        <v>1977338403</v>
      </c>
      <c r="G52" s="49">
        <v>1943385003</v>
      </c>
      <c r="H52" s="49">
        <v>1943385003</v>
      </c>
    </row>
    <row r="53" spans="2:8" x14ac:dyDescent="0.25">
      <c r="C53" s="49" t="e">
        <f t="shared" ref="C53:H53" si="3">C50-C52</f>
        <v>#REF!</v>
      </c>
      <c r="D53" s="49" t="e">
        <f t="shared" si="3"/>
        <v>#REF!</v>
      </c>
      <c r="E53" s="49" t="e">
        <f t="shared" si="3"/>
        <v>#REF!</v>
      </c>
      <c r="F53" s="49" t="e">
        <f t="shared" si="3"/>
        <v>#REF!</v>
      </c>
      <c r="G53" s="49" t="e">
        <f t="shared" si="3"/>
        <v>#REF!</v>
      </c>
      <c r="H53" s="49" t="e">
        <f t="shared" si="3"/>
        <v>#REF!</v>
      </c>
    </row>
  </sheetData>
  <mergeCells count="4">
    <mergeCell ref="C5:D5"/>
    <mergeCell ref="F5:H5"/>
    <mergeCell ref="A5:A6"/>
    <mergeCell ref="B5: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L45"/>
  <sheetViews>
    <sheetView topLeftCell="A7" workbookViewId="0">
      <selection activeCell="G45" sqref="G45"/>
    </sheetView>
  </sheetViews>
  <sheetFormatPr defaultRowHeight="15" x14ac:dyDescent="0.25"/>
  <cols>
    <col min="3" max="3" width="16.42578125" customWidth="1"/>
    <col min="4" max="4" width="14.5703125" customWidth="1"/>
    <col min="5" max="5" width="17.42578125" customWidth="1"/>
    <col min="6" max="6" width="16.85546875" customWidth="1"/>
    <col min="7" max="7" width="21.28515625" customWidth="1"/>
    <col min="8" max="8" width="19.85546875" customWidth="1"/>
    <col min="9" max="9" width="16.5703125" customWidth="1"/>
    <col min="10" max="10" width="16.28515625" customWidth="1"/>
    <col min="11" max="11" width="19.42578125" customWidth="1"/>
    <col min="12" max="12" width="15" bestFit="1" customWidth="1"/>
  </cols>
  <sheetData>
    <row r="4" spans="3:12" x14ac:dyDescent="0.25">
      <c r="C4" s="49">
        <v>2206682139</v>
      </c>
      <c r="D4" s="49">
        <v>2168585939</v>
      </c>
      <c r="E4" s="49">
        <v>2151028739</v>
      </c>
      <c r="F4" s="49"/>
      <c r="G4" s="49">
        <v>2378733445.3099999</v>
      </c>
      <c r="H4" s="49">
        <v>2326631827.9400001</v>
      </c>
      <c r="I4" s="49"/>
      <c r="J4" s="49"/>
      <c r="K4" s="49"/>
      <c r="L4" s="49"/>
    </row>
    <row r="5" spans="3:12" x14ac:dyDescent="0.25">
      <c r="C5" s="49">
        <v>193683900</v>
      </c>
      <c r="D5" s="49">
        <v>193683900</v>
      </c>
      <c r="E5" s="49">
        <v>193683900</v>
      </c>
      <c r="F5" s="49"/>
      <c r="G5" s="49">
        <v>176106100</v>
      </c>
      <c r="H5" s="49">
        <v>176106100</v>
      </c>
      <c r="I5" s="185"/>
      <c r="J5" s="185"/>
      <c r="K5" s="185"/>
      <c r="L5" s="185"/>
    </row>
    <row r="6" spans="3:12" x14ac:dyDescent="0.25">
      <c r="C6" s="49">
        <v>3189000</v>
      </c>
      <c r="D6" s="49">
        <v>3189000</v>
      </c>
      <c r="E6" s="49">
        <v>3189000</v>
      </c>
      <c r="F6" s="49"/>
      <c r="G6" s="49">
        <v>1717000</v>
      </c>
      <c r="H6" s="49">
        <v>1717000</v>
      </c>
      <c r="I6" s="185"/>
      <c r="J6" s="185"/>
      <c r="K6" s="185"/>
      <c r="L6" s="185"/>
    </row>
    <row r="7" spans="3:12" x14ac:dyDescent="0.25">
      <c r="C7" s="49">
        <v>382980700</v>
      </c>
      <c r="D7" s="49">
        <v>382980700</v>
      </c>
      <c r="E7" s="49">
        <v>382980700</v>
      </c>
      <c r="F7" s="49"/>
      <c r="G7" s="49">
        <v>394432100</v>
      </c>
      <c r="H7" s="49">
        <v>394432100</v>
      </c>
      <c r="I7" s="185"/>
      <c r="J7" s="185"/>
      <c r="K7" s="185"/>
      <c r="L7" s="185"/>
    </row>
    <row r="8" spans="3:12" x14ac:dyDescent="0.25">
      <c r="C8" s="49">
        <v>140187600</v>
      </c>
      <c r="D8" s="49">
        <v>140187600</v>
      </c>
      <c r="E8" s="49">
        <v>140187600</v>
      </c>
      <c r="F8" s="49"/>
      <c r="G8" s="49">
        <v>137985500</v>
      </c>
      <c r="H8" s="49">
        <v>137985500</v>
      </c>
      <c r="I8" s="185"/>
      <c r="J8" s="185"/>
      <c r="K8" s="185"/>
      <c r="L8" s="185"/>
    </row>
    <row r="9" spans="3:12" x14ac:dyDescent="0.25">
      <c r="C9" s="49">
        <v>564918500</v>
      </c>
      <c r="D9" s="49">
        <v>556408800</v>
      </c>
      <c r="E9" s="49">
        <v>556408800</v>
      </c>
      <c r="F9" s="49"/>
      <c r="G9" s="49">
        <v>593010500</v>
      </c>
      <c r="H9" s="49">
        <v>593010500</v>
      </c>
      <c r="I9" s="185"/>
      <c r="J9" s="185"/>
      <c r="K9" s="185"/>
      <c r="L9" s="185"/>
    </row>
    <row r="10" spans="3:12" x14ac:dyDescent="0.25">
      <c r="C10" s="49">
        <v>5882200</v>
      </c>
      <c r="D10" s="49">
        <v>5882200</v>
      </c>
      <c r="E10" s="49">
        <v>5882200</v>
      </c>
      <c r="F10" s="49"/>
      <c r="G10" s="49">
        <v>4041200</v>
      </c>
      <c r="H10" s="49">
        <v>3914133.23</v>
      </c>
      <c r="I10" s="185"/>
      <c r="J10" s="185"/>
      <c r="K10" s="185"/>
      <c r="L10" s="185"/>
    </row>
    <row r="11" spans="3:12" x14ac:dyDescent="0.25">
      <c r="C11" s="49">
        <v>66427527.329999998</v>
      </c>
      <c r="D11" s="49">
        <v>65973327.329999998</v>
      </c>
      <c r="E11" s="49">
        <v>26916127.329999998</v>
      </c>
      <c r="F11" s="49"/>
      <c r="G11" s="49">
        <v>34317900</v>
      </c>
      <c r="H11" s="49">
        <v>34317900</v>
      </c>
      <c r="I11" s="185"/>
      <c r="J11" s="185"/>
      <c r="K11" s="185"/>
      <c r="L11" s="185"/>
    </row>
    <row r="12" spans="3:12" x14ac:dyDescent="0.25">
      <c r="C12" s="49">
        <v>34524600</v>
      </c>
      <c r="D12" s="49">
        <v>34524600</v>
      </c>
      <c r="E12" s="49">
        <v>34524600</v>
      </c>
      <c r="F12" s="49"/>
      <c r="G12" s="49">
        <v>20303100</v>
      </c>
      <c r="H12" s="49">
        <v>20156025.609999999</v>
      </c>
      <c r="I12" s="185"/>
      <c r="J12" s="185"/>
      <c r="K12" s="185"/>
      <c r="L12" s="185"/>
    </row>
    <row r="13" spans="3:12" x14ac:dyDescent="0.25">
      <c r="C13" s="49">
        <v>24045600</v>
      </c>
      <c r="D13" s="49">
        <v>24045600</v>
      </c>
      <c r="E13" s="49">
        <v>24045600</v>
      </c>
      <c r="F13" s="49"/>
      <c r="G13" s="49"/>
      <c r="H13" s="49"/>
      <c r="I13" s="185"/>
      <c r="J13" s="185"/>
      <c r="K13" s="185"/>
      <c r="L13" s="185"/>
    </row>
    <row r="14" spans="3:12" x14ac:dyDescent="0.25">
      <c r="C14" s="49">
        <v>12828749</v>
      </c>
      <c r="D14" s="49">
        <v>12828749</v>
      </c>
      <c r="E14" s="49">
        <v>12828749</v>
      </c>
      <c r="F14" s="49"/>
      <c r="G14" s="49"/>
      <c r="H14" s="49"/>
      <c r="I14" s="185"/>
      <c r="J14" s="185"/>
      <c r="K14" s="185"/>
      <c r="L14" s="185"/>
    </row>
    <row r="15" spans="3:12" x14ac:dyDescent="0.25">
      <c r="C15" s="49">
        <v>70956830</v>
      </c>
      <c r="D15" s="49">
        <v>70956830</v>
      </c>
      <c r="E15" s="49">
        <v>70956830</v>
      </c>
      <c r="F15" s="49"/>
      <c r="G15" s="49">
        <v>10494378.380000001</v>
      </c>
      <c r="H15" s="49">
        <v>10254999.359999999</v>
      </c>
      <c r="I15" s="185"/>
      <c r="J15" s="185"/>
      <c r="K15" s="185"/>
      <c r="L15" s="185"/>
    </row>
    <row r="16" spans="3:12" x14ac:dyDescent="0.25">
      <c r="C16" s="49">
        <v>16045000</v>
      </c>
      <c r="D16" s="49">
        <v>16045000</v>
      </c>
      <c r="E16" s="49">
        <v>16045000</v>
      </c>
      <c r="F16" s="49"/>
      <c r="G16" s="49">
        <v>15998600</v>
      </c>
      <c r="H16" s="49">
        <v>15942799.16</v>
      </c>
      <c r="I16" s="185"/>
      <c r="J16" s="185"/>
      <c r="K16" s="185"/>
      <c r="L16" s="185"/>
    </row>
    <row r="17" spans="3:12" x14ac:dyDescent="0.25">
      <c r="C17" s="49">
        <v>5450600</v>
      </c>
      <c r="D17" s="49">
        <v>5450600</v>
      </c>
      <c r="E17" s="49">
        <v>5450600</v>
      </c>
      <c r="F17" s="49"/>
      <c r="G17" s="49">
        <v>4250000</v>
      </c>
      <c r="H17" s="49">
        <v>4022966.03</v>
      </c>
      <c r="I17" s="185"/>
      <c r="J17" s="185"/>
      <c r="K17" s="185"/>
      <c r="L17" s="185"/>
    </row>
    <row r="18" spans="3:12" x14ac:dyDescent="0.25">
      <c r="C18" s="49"/>
      <c r="D18" s="49"/>
      <c r="E18" s="49"/>
      <c r="F18" s="49"/>
      <c r="G18" s="49">
        <v>26051778.780000001</v>
      </c>
      <c r="H18" s="49">
        <v>25510985.469999999</v>
      </c>
      <c r="I18" s="185"/>
      <c r="J18" s="185"/>
      <c r="K18" s="185"/>
      <c r="L18" s="185"/>
    </row>
    <row r="19" spans="3:12" x14ac:dyDescent="0.25">
      <c r="C19" s="49"/>
      <c r="D19" s="49"/>
      <c r="E19" s="49"/>
      <c r="F19" s="49"/>
      <c r="G19" s="49">
        <v>58415520.530000001</v>
      </c>
      <c r="H19" s="49">
        <v>56889124.07</v>
      </c>
      <c r="I19" s="185"/>
      <c r="J19" s="185"/>
      <c r="K19" s="185"/>
      <c r="L19" s="185"/>
    </row>
    <row r="20" spans="3:12" x14ac:dyDescent="0.25">
      <c r="C20" s="49"/>
      <c r="D20" s="49"/>
      <c r="E20" s="49"/>
      <c r="F20" s="49"/>
      <c r="G20" s="49">
        <v>5854746.54</v>
      </c>
      <c r="H20" s="49">
        <v>5854746.54</v>
      </c>
      <c r="I20" s="185"/>
      <c r="J20" s="185"/>
      <c r="K20" s="185"/>
      <c r="L20" s="185"/>
    </row>
    <row r="21" spans="3:12" x14ac:dyDescent="0.25">
      <c r="C21" s="157">
        <f>SUM(C5:C17)+C19</f>
        <v>1521120806.3299999</v>
      </c>
      <c r="D21" s="157">
        <f t="shared" ref="D21:E21" si="0">SUM(D5:D17)+D19</f>
        <v>1512156906.3299999</v>
      </c>
      <c r="E21" s="157">
        <f t="shared" si="0"/>
        <v>1473099706.3299999</v>
      </c>
      <c r="F21" s="49"/>
      <c r="G21" s="49">
        <f>SUM(G5:G17)+G18+G19+G20</f>
        <v>1482978424.23</v>
      </c>
      <c r="H21" s="49">
        <f>SUM(H5:H17)+H18+H19+H20</f>
        <v>1480114879.4699998</v>
      </c>
      <c r="I21" s="185"/>
      <c r="J21" s="185"/>
      <c r="K21" s="185"/>
      <c r="L21" s="185"/>
    </row>
    <row r="22" spans="3:12" x14ac:dyDescent="0.25">
      <c r="C22" s="49">
        <f>C4-C21</f>
        <v>685561332.67000008</v>
      </c>
      <c r="D22" s="49">
        <f t="shared" ref="D22:E22" si="1">D4-D21</f>
        <v>656429032.67000008</v>
      </c>
      <c r="E22" s="49">
        <f t="shared" si="1"/>
        <v>677929032.67000008</v>
      </c>
      <c r="F22" s="49"/>
      <c r="G22" s="49">
        <f>G4-G21</f>
        <v>895755021.07999992</v>
      </c>
      <c r="H22" s="49">
        <f>H4-H21</f>
        <v>846516948.47000027</v>
      </c>
      <c r="I22" s="49"/>
      <c r="J22" s="49"/>
      <c r="K22" s="49"/>
      <c r="L22" s="49"/>
    </row>
    <row r="23" spans="3:12" x14ac:dyDescent="0.25">
      <c r="C23" s="49"/>
      <c r="D23" s="49"/>
      <c r="E23" s="49"/>
      <c r="G23" s="157"/>
      <c r="H23" s="157"/>
      <c r="I23" s="49"/>
      <c r="J23" s="49"/>
      <c r="K23" s="49"/>
      <c r="L23" s="49"/>
    </row>
    <row r="24" spans="3:12" x14ac:dyDescent="0.25">
      <c r="C24" s="49">
        <v>2392645424.6999998</v>
      </c>
      <c r="D24" s="49">
        <v>2285921239</v>
      </c>
      <c r="E24" s="49">
        <v>2349666108.77</v>
      </c>
      <c r="G24" s="49"/>
      <c r="H24" s="49"/>
      <c r="I24" s="49"/>
      <c r="J24" s="49"/>
    </row>
    <row r="25" spans="3:12" x14ac:dyDescent="0.25">
      <c r="C25" s="49">
        <v>193683900</v>
      </c>
      <c r="D25" s="49">
        <v>193683900</v>
      </c>
      <c r="E25" s="49">
        <v>193683900</v>
      </c>
      <c r="G25" s="157">
        <v>2509787826.6599998</v>
      </c>
      <c r="H25" s="157">
        <v>2285921239</v>
      </c>
      <c r="I25" s="157">
        <v>2349666108.77</v>
      </c>
      <c r="J25" s="49"/>
    </row>
    <row r="26" spans="3:12" x14ac:dyDescent="0.25">
      <c r="C26" s="49">
        <v>3189000</v>
      </c>
      <c r="D26" s="49">
        <v>3189000</v>
      </c>
      <c r="E26" s="49">
        <v>3189000</v>
      </c>
      <c r="G26" s="49"/>
      <c r="H26" s="49"/>
      <c r="I26" s="49"/>
      <c r="J26" s="49"/>
    </row>
    <row r="27" spans="3:12" x14ac:dyDescent="0.25">
      <c r="C27" s="49">
        <v>382980700</v>
      </c>
      <c r="D27" s="49">
        <v>382980700</v>
      </c>
      <c r="E27" s="49">
        <v>382980700</v>
      </c>
      <c r="G27" s="49">
        <v>211200100</v>
      </c>
      <c r="H27" s="49">
        <v>193683900</v>
      </c>
      <c r="I27" s="49">
        <v>193683900</v>
      </c>
      <c r="J27" s="49"/>
    </row>
    <row r="28" spans="3:12" x14ac:dyDescent="0.25">
      <c r="C28" s="49">
        <v>140187600</v>
      </c>
      <c r="D28" s="49">
        <v>140187600</v>
      </c>
      <c r="E28" s="49">
        <v>140187600</v>
      </c>
      <c r="G28" s="49">
        <v>3189000</v>
      </c>
      <c r="H28" s="49">
        <v>3189000</v>
      </c>
      <c r="I28" s="49">
        <v>3189000</v>
      </c>
      <c r="J28" s="49"/>
    </row>
    <row r="29" spans="3:12" x14ac:dyDescent="0.25">
      <c r="C29" s="49">
        <v>564918500</v>
      </c>
      <c r="D29" s="49">
        <v>556408800</v>
      </c>
      <c r="E29" s="49">
        <v>556408800</v>
      </c>
      <c r="G29" s="49">
        <v>409462900</v>
      </c>
      <c r="H29" s="49">
        <v>382980700</v>
      </c>
      <c r="I29" s="49">
        <v>382980700</v>
      </c>
      <c r="J29" s="49"/>
    </row>
    <row r="30" spans="3:12" x14ac:dyDescent="0.25">
      <c r="C30" s="49">
        <v>5882200</v>
      </c>
      <c r="D30" s="49">
        <v>5882200</v>
      </c>
      <c r="E30" s="49">
        <v>5882200</v>
      </c>
      <c r="G30" s="49">
        <v>153423100</v>
      </c>
      <c r="H30" s="49">
        <v>140187600</v>
      </c>
      <c r="I30" s="49">
        <v>140187600</v>
      </c>
      <c r="J30" s="49"/>
    </row>
    <row r="31" spans="3:12" x14ac:dyDescent="0.25">
      <c r="C31" s="287">
        <v>68645945.950000003</v>
      </c>
      <c r="D31" s="287">
        <v>63190590.600000001</v>
      </c>
      <c r="E31" s="287">
        <v>60917517.520000003</v>
      </c>
      <c r="G31" s="49">
        <v>616129000</v>
      </c>
      <c r="H31" s="49">
        <v>556408800</v>
      </c>
      <c r="I31" s="49">
        <v>556408800</v>
      </c>
      <c r="J31" s="49"/>
    </row>
    <row r="32" spans="3:12" x14ac:dyDescent="0.25">
      <c r="C32" s="287">
        <v>28972672.68</v>
      </c>
      <c r="D32" s="287">
        <v>28972672.68</v>
      </c>
      <c r="E32" s="287">
        <v>28972672.68</v>
      </c>
      <c r="G32" s="49">
        <v>5882200</v>
      </c>
      <c r="H32" s="49">
        <v>5882200</v>
      </c>
      <c r="I32" s="49">
        <v>5882200</v>
      </c>
      <c r="J32" s="49"/>
    </row>
    <row r="33" spans="3:10" x14ac:dyDescent="0.25">
      <c r="C33" s="49">
        <v>34524600</v>
      </c>
      <c r="D33" s="49">
        <v>34524600</v>
      </c>
      <c r="E33" s="49">
        <v>34524600</v>
      </c>
      <c r="G33" s="49"/>
      <c r="H33" s="49"/>
      <c r="I33" s="49"/>
      <c r="J33" s="49"/>
    </row>
    <row r="34" spans="3:10" x14ac:dyDescent="0.25">
      <c r="C34" s="49">
        <v>24045600</v>
      </c>
      <c r="D34" s="49">
        <v>24045600</v>
      </c>
      <c r="E34" s="49">
        <v>24045600</v>
      </c>
      <c r="G34" s="49">
        <v>36428700</v>
      </c>
      <c r="H34" s="49">
        <v>34524600</v>
      </c>
      <c r="I34" s="49">
        <v>34524600</v>
      </c>
    </row>
    <row r="35" spans="3:10" x14ac:dyDescent="0.25">
      <c r="C35" s="49">
        <v>13731959</v>
      </c>
      <c r="D35" s="49">
        <v>12828749</v>
      </c>
      <c r="E35" s="49">
        <v>12828749</v>
      </c>
      <c r="G35" s="49">
        <v>24045600</v>
      </c>
      <c r="H35" s="49">
        <v>24045600</v>
      </c>
      <c r="I35" s="49">
        <v>24045600</v>
      </c>
    </row>
    <row r="36" spans="3:10" x14ac:dyDescent="0.25">
      <c r="C36" s="49">
        <v>74831494</v>
      </c>
      <c r="D36" s="49">
        <v>70956830</v>
      </c>
      <c r="E36" s="49">
        <v>70956830</v>
      </c>
      <c r="G36" s="49">
        <v>13731959</v>
      </c>
      <c r="H36" s="49">
        <v>12828749</v>
      </c>
      <c r="I36" s="49">
        <v>12828749</v>
      </c>
    </row>
    <row r="37" spans="3:10" x14ac:dyDescent="0.25">
      <c r="C37" s="49">
        <v>16045000</v>
      </c>
      <c r="D37" s="49">
        <v>16045000</v>
      </c>
      <c r="E37" s="49">
        <v>16045000</v>
      </c>
      <c r="G37" s="49">
        <v>73212249</v>
      </c>
      <c r="H37" s="49">
        <v>70956830</v>
      </c>
      <c r="I37" s="49">
        <v>70956830</v>
      </c>
    </row>
    <row r="38" spans="3:10" x14ac:dyDescent="0.25">
      <c r="C38" s="49">
        <v>5450600</v>
      </c>
      <c r="D38" s="49">
        <v>5450600</v>
      </c>
      <c r="E38" s="49">
        <v>5450600</v>
      </c>
      <c r="G38" s="49">
        <v>18566300</v>
      </c>
      <c r="H38" s="49">
        <v>16045000</v>
      </c>
      <c r="I38" s="49">
        <v>16045000</v>
      </c>
    </row>
    <row r="39" spans="3:10" x14ac:dyDescent="0.25">
      <c r="C39" s="49"/>
      <c r="D39" s="49"/>
      <c r="E39" s="49"/>
      <c r="G39" s="49">
        <v>5450600</v>
      </c>
      <c r="H39" s="49">
        <v>5450600</v>
      </c>
      <c r="I39" s="49">
        <v>5450600</v>
      </c>
    </row>
    <row r="40" spans="3:10" x14ac:dyDescent="0.25">
      <c r="C40" s="49">
        <f>SUM(C25:C39)</f>
        <v>1557089771.6300001</v>
      </c>
      <c r="D40" s="49">
        <f t="shared" ref="D40:E40" si="2">SUM(D25:D39)</f>
        <v>1538346842.28</v>
      </c>
      <c r="E40" s="49">
        <f t="shared" si="2"/>
        <v>1536073769.2</v>
      </c>
      <c r="G40" s="157">
        <f>SUM(G27:G39)</f>
        <v>1570721708</v>
      </c>
      <c r="H40" s="157">
        <f t="shared" ref="H40:I40" si="3">SUM(H27:H39)</f>
        <v>1446183579</v>
      </c>
      <c r="I40" s="157">
        <f t="shared" si="3"/>
        <v>1446183579</v>
      </c>
    </row>
    <row r="41" spans="3:10" x14ac:dyDescent="0.25">
      <c r="C41" s="49"/>
      <c r="D41" s="49"/>
      <c r="E41" s="49"/>
      <c r="G41" s="49">
        <f>G25-G40</f>
        <v>939066118.65999985</v>
      </c>
      <c r="H41" s="49">
        <f t="shared" ref="H41:I41" si="4">H25-H40</f>
        <v>839737660</v>
      </c>
      <c r="I41" s="49">
        <f t="shared" si="4"/>
        <v>903482529.76999998</v>
      </c>
    </row>
    <row r="42" spans="3:10" x14ac:dyDescent="0.25">
      <c r="C42" s="49">
        <f>C24-C40</f>
        <v>835555653.06999969</v>
      </c>
      <c r="D42" s="49">
        <f t="shared" ref="D42:E42" si="5">D24-D40</f>
        <v>747574396.72000003</v>
      </c>
      <c r="E42" s="49">
        <f t="shared" si="5"/>
        <v>813592339.56999993</v>
      </c>
      <c r="G42" s="49">
        <v>68645945.950000003</v>
      </c>
      <c r="H42" s="49">
        <v>63190590.600000001</v>
      </c>
      <c r="I42" s="49">
        <v>60917517.520000003</v>
      </c>
      <c r="J42">
        <v>2624</v>
      </c>
    </row>
    <row r="43" spans="3:10" x14ac:dyDescent="0.25">
      <c r="G43" s="49">
        <f>G41-G42</f>
        <v>870420172.7099998</v>
      </c>
      <c r="H43" s="49">
        <f t="shared" ref="H43:I43" si="6">H41-H42</f>
        <v>776547069.39999998</v>
      </c>
      <c r="I43" s="49">
        <f t="shared" si="6"/>
        <v>842565012.25</v>
      </c>
    </row>
    <row r="44" spans="3:10" x14ac:dyDescent="0.25">
      <c r="G44">
        <f>2886600+1400000</f>
        <v>4286600</v>
      </c>
      <c r="H44">
        <f>2886600+1400000</f>
        <v>4286600</v>
      </c>
      <c r="I44">
        <f>2886600+1400000</f>
        <v>4286600</v>
      </c>
    </row>
    <row r="45" spans="3:10" x14ac:dyDescent="0.25">
      <c r="G45" s="49">
        <f>G43-G44</f>
        <v>866133572.7099998</v>
      </c>
      <c r="H45" s="49">
        <f t="shared" ref="H45:I45" si="7">H43-H44</f>
        <v>772260469.39999998</v>
      </c>
      <c r="I45" s="49">
        <f t="shared" si="7"/>
        <v>838278412.25</v>
      </c>
      <c r="J45">
        <v>2625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dc:creator>
  <cp:lastModifiedBy>121</cp:lastModifiedBy>
  <cp:lastPrinted>2024-11-08T04:06:37Z</cp:lastPrinted>
  <dcterms:created xsi:type="dcterms:W3CDTF">2017-10-12T06:20:04Z</dcterms:created>
  <dcterms:modified xsi:type="dcterms:W3CDTF">2025-04-18T02:35:51Z</dcterms:modified>
</cp:coreProperties>
</file>